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-600" yWindow="1180" windowWidth="37140" windowHeight="21160" tabRatio="500"/>
  </bookViews>
  <sheets>
    <sheet name="concert registry 2015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05" i="1" l="1"/>
  <c r="Q145" i="1"/>
  <c r="Q224" i="1"/>
  <c r="Q328" i="1"/>
  <c r="Q329" i="1"/>
  <c r="O314" i="1"/>
  <c r="Q314" i="1"/>
  <c r="Q305" i="1"/>
  <c r="O305" i="1"/>
  <c r="O273" i="1"/>
  <c r="N273" i="1"/>
  <c r="Q273" i="1"/>
  <c r="Q244" i="1"/>
  <c r="P244" i="1"/>
  <c r="O244" i="1"/>
  <c r="K244" i="1"/>
  <c r="Q192" i="1"/>
  <c r="Q172" i="1"/>
  <c r="O172" i="1"/>
  <c r="Q161" i="1"/>
  <c r="M161" i="1"/>
  <c r="O161" i="1"/>
  <c r="Q140" i="1"/>
  <c r="M121" i="1"/>
  <c r="O121" i="1"/>
  <c r="Q69" i="1"/>
  <c r="Q55" i="1"/>
  <c r="N55" i="1"/>
  <c r="O55" i="1"/>
  <c r="K55" i="1"/>
  <c r="Q49" i="1"/>
  <c r="O49" i="1"/>
  <c r="Q47" i="1"/>
  <c r="O47" i="1"/>
  <c r="Q38" i="1"/>
  <c r="O64" i="1"/>
  <c r="O58" i="1"/>
  <c r="Q64" i="1"/>
  <c r="Q122" i="1"/>
  <c r="Q206" i="1"/>
  <c r="O329" i="1"/>
  <c r="O252" i="1"/>
  <c r="M252" i="1"/>
  <c r="O256" i="1"/>
  <c r="M256" i="1"/>
  <c r="O233" i="1"/>
  <c r="M233" i="1"/>
  <c r="O316" i="1"/>
  <c r="M316" i="1"/>
  <c r="O241" i="1"/>
  <c r="Q241" i="1"/>
  <c r="Q312" i="1"/>
  <c r="Q321" i="1"/>
  <c r="O321" i="1"/>
  <c r="M321" i="1"/>
  <c r="Q320" i="1"/>
  <c r="O320" i="1"/>
  <c r="M320" i="1"/>
  <c r="O290" i="1"/>
  <c r="Q290" i="1"/>
  <c r="M290" i="1"/>
  <c r="Q322" i="1"/>
  <c r="O322" i="1"/>
  <c r="M322" i="1"/>
  <c r="O230" i="1"/>
  <c r="Q230" i="1"/>
  <c r="M230" i="1"/>
  <c r="O288" i="1"/>
  <c r="M288" i="1"/>
  <c r="O265" i="1"/>
  <c r="Q265" i="1"/>
  <c r="M265" i="1"/>
  <c r="O281" i="1"/>
  <c r="Q281" i="1"/>
  <c r="M281" i="1"/>
  <c r="Q208" i="1"/>
  <c r="O208" i="1"/>
  <c r="M208" i="1"/>
  <c r="O270" i="1"/>
  <c r="Q270" i="1"/>
  <c r="M270" i="1"/>
  <c r="Q201" i="1"/>
  <c r="O201" i="1"/>
  <c r="M201" i="1"/>
  <c r="Q181" i="1"/>
  <c r="O181" i="1"/>
  <c r="M181" i="1"/>
  <c r="Q212" i="1"/>
  <c r="O212" i="1"/>
  <c r="M212" i="1"/>
  <c r="Q254" i="1"/>
  <c r="O254" i="1"/>
  <c r="M254" i="1"/>
  <c r="Q323" i="1"/>
  <c r="O323" i="1"/>
  <c r="Q222" i="1"/>
  <c r="O222" i="1"/>
  <c r="M222" i="1"/>
  <c r="Q275" i="1"/>
  <c r="O275" i="1"/>
  <c r="M275" i="1"/>
  <c r="Q187" i="1"/>
  <c r="O187" i="1"/>
  <c r="M187" i="1"/>
  <c r="O175" i="1"/>
  <c r="M175" i="1"/>
  <c r="O247" i="1"/>
  <c r="Q247" i="1"/>
  <c r="M247" i="1"/>
  <c r="Q200" i="1"/>
  <c r="O200" i="1"/>
  <c r="M200" i="1"/>
  <c r="Q262" i="1"/>
  <c r="O262" i="1"/>
  <c r="M262" i="1"/>
  <c r="Q162" i="1"/>
  <c r="O162" i="1"/>
  <c r="M162" i="1"/>
  <c r="Q202" i="1"/>
  <c r="Q264" i="1"/>
  <c r="O264" i="1"/>
  <c r="M264" i="1"/>
  <c r="Q238" i="1"/>
  <c r="O238" i="1"/>
  <c r="M238" i="1"/>
  <c r="O251" i="1"/>
  <c r="M251" i="1"/>
  <c r="Q227" i="1"/>
  <c r="O227" i="1"/>
  <c r="M227" i="1"/>
  <c r="Q242" i="1"/>
  <c r="O242" i="1"/>
  <c r="M242" i="1"/>
  <c r="Q207" i="1"/>
  <c r="O207" i="1"/>
  <c r="M207" i="1"/>
  <c r="Q185" i="1"/>
  <c r="O185" i="1"/>
  <c r="M185" i="1"/>
  <c r="O235" i="1"/>
  <c r="M235" i="1"/>
  <c r="Q167" i="1"/>
  <c r="O167" i="1"/>
  <c r="M167" i="1"/>
  <c r="Q324" i="1"/>
  <c r="O324" i="1"/>
  <c r="Q248" i="1"/>
  <c r="O248" i="1"/>
  <c r="Q291" i="1"/>
  <c r="O291" i="1"/>
  <c r="Q282" i="1"/>
  <c r="Q267" i="1"/>
  <c r="O267" i="1"/>
  <c r="Q327" i="1"/>
  <c r="O327" i="1"/>
  <c r="Q307" i="1"/>
  <c r="O307" i="1"/>
  <c r="Q231" i="1"/>
  <c r="O231" i="1"/>
  <c r="Q308" i="1"/>
  <c r="O308" i="1"/>
  <c r="Q326" i="1"/>
  <c r="O326" i="1"/>
  <c r="Q195" i="1"/>
  <c r="O195" i="1"/>
  <c r="M195" i="1"/>
  <c r="Q176" i="1"/>
  <c r="O176" i="1"/>
  <c r="M176" i="1"/>
  <c r="Q229" i="1"/>
  <c r="O229" i="1"/>
  <c r="M229" i="1"/>
  <c r="Q225" i="1"/>
  <c r="O225" i="1"/>
  <c r="M225" i="1"/>
  <c r="Q179" i="1"/>
  <c r="O179" i="1"/>
  <c r="M179" i="1"/>
  <c r="Q191" i="1"/>
  <c r="O191" i="1"/>
  <c r="M191" i="1"/>
  <c r="Q232" i="1"/>
  <c r="O232" i="1"/>
  <c r="M232" i="1"/>
  <c r="Q188" i="1"/>
  <c r="O188" i="1"/>
  <c r="M188" i="1"/>
  <c r="Q223" i="1"/>
  <c r="O223" i="1"/>
  <c r="M223" i="1"/>
  <c r="Q214" i="1"/>
  <c r="O214" i="1"/>
  <c r="M214" i="1"/>
  <c r="O190" i="1"/>
  <c r="M190" i="1"/>
  <c r="Q239" i="1"/>
  <c r="O239" i="1"/>
  <c r="M239" i="1"/>
  <c r="O180" i="1"/>
  <c r="M180" i="1"/>
  <c r="O234" i="1"/>
  <c r="M272" i="1"/>
  <c r="O272" i="1"/>
  <c r="Q272" i="1"/>
  <c r="O85" i="1"/>
  <c r="Q85" i="1"/>
  <c r="M85" i="1"/>
  <c r="Q35" i="1"/>
  <c r="O35" i="1"/>
  <c r="M35" i="1"/>
  <c r="Q146" i="1"/>
  <c r="O146" i="1"/>
  <c r="M146" i="1"/>
  <c r="Q171" i="1"/>
  <c r="O171" i="1"/>
  <c r="M171" i="1"/>
  <c r="O152" i="1"/>
  <c r="Q152" i="1"/>
  <c r="M152" i="1"/>
  <c r="M131" i="1"/>
  <c r="O131" i="1"/>
  <c r="Q131" i="1"/>
  <c r="O173" i="1"/>
  <c r="Q173" i="1"/>
  <c r="Q289" i="1"/>
  <c r="O289" i="1"/>
  <c r="Q287" i="1"/>
  <c r="O287" i="1"/>
  <c r="Q283" i="1"/>
  <c r="O283" i="1"/>
  <c r="Q261" i="1"/>
  <c r="Q297" i="1"/>
  <c r="O297" i="1"/>
  <c r="Q257" i="1"/>
  <c r="O257" i="1"/>
  <c r="Q294" i="1"/>
  <c r="O294" i="1"/>
  <c r="Q313" i="1"/>
  <c r="O313" i="1"/>
  <c r="Q325" i="1"/>
  <c r="O325" i="1"/>
  <c r="Q299" i="1"/>
  <c r="O299" i="1"/>
  <c r="Q318" i="1"/>
  <c r="O318" i="1"/>
  <c r="O280" i="1"/>
  <c r="Q280" i="1"/>
  <c r="Q209" i="1"/>
  <c r="O209" i="1"/>
  <c r="Q319" i="1"/>
  <c r="O319" i="1"/>
  <c r="Q285" i="1"/>
  <c r="O285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Q274" i="1"/>
  <c r="O274" i="1"/>
  <c r="Q249" i="1"/>
  <c r="O249" i="1"/>
  <c r="Q204" i="1"/>
  <c r="O204" i="1"/>
  <c r="Q266" i="1"/>
  <c r="O266" i="1"/>
  <c r="Q250" i="1"/>
  <c r="O250" i="1"/>
  <c r="Q293" i="1"/>
  <c r="O293" i="1"/>
  <c r="Q221" i="1"/>
  <c r="O221" i="1"/>
  <c r="Q236" i="1"/>
  <c r="O236" i="1"/>
  <c r="O237" i="1"/>
  <c r="Q237" i="1"/>
  <c r="Q215" i="1"/>
  <c r="O215" i="1"/>
  <c r="N215" i="1"/>
  <c r="Q258" i="1"/>
  <c r="O258" i="1"/>
  <c r="Q228" i="1"/>
  <c r="O228" i="1"/>
  <c r="O219" i="1"/>
  <c r="Q219" i="1"/>
  <c r="Q279" i="1"/>
  <c r="O279" i="1"/>
  <c r="Q304" i="1"/>
  <c r="O304" i="1"/>
  <c r="Q243" i="1"/>
  <c r="O243" i="1"/>
  <c r="Q240" i="1"/>
  <c r="O240" i="1"/>
  <c r="Q278" i="1"/>
  <c r="O278" i="1"/>
  <c r="Q253" i="1"/>
  <c r="O253" i="1"/>
  <c r="Q193" i="1"/>
  <c r="Q268" i="1"/>
  <c r="O268" i="1"/>
  <c r="Q245" i="1"/>
  <c r="O245" i="1"/>
  <c r="Q263" i="1"/>
  <c r="O263" i="1"/>
  <c r="Q300" i="1"/>
  <c r="O300" i="1"/>
  <c r="Q303" i="1"/>
  <c r="O303" i="1"/>
  <c r="Q220" i="1"/>
  <c r="O220" i="1"/>
  <c r="Q311" i="1"/>
  <c r="O311" i="1"/>
  <c r="Q298" i="1"/>
  <c r="O298" i="1"/>
  <c r="Q269" i="1"/>
  <c r="O269" i="1"/>
  <c r="Q310" i="1"/>
  <c r="O310" i="1"/>
  <c r="Q246" i="1"/>
  <c r="O246" i="1"/>
  <c r="Q276" i="1"/>
  <c r="O276" i="1"/>
  <c r="Q177" i="1"/>
  <c r="O177" i="1"/>
  <c r="Q295" i="1"/>
  <c r="O295" i="1"/>
  <c r="Q210" i="1"/>
  <c r="O210" i="1"/>
  <c r="Q277" i="1"/>
  <c r="O277" i="1"/>
  <c r="Q178" i="1"/>
  <c r="O178" i="1"/>
  <c r="Q309" i="1"/>
  <c r="O309" i="1"/>
  <c r="Q216" i="1"/>
  <c r="O216" i="1"/>
  <c r="Q259" i="1"/>
  <c r="O259" i="1"/>
  <c r="Q292" i="1"/>
  <c r="O292" i="1"/>
  <c r="Q306" i="1"/>
  <c r="O306" i="1"/>
  <c r="Q199" i="1"/>
  <c r="O199" i="1"/>
  <c r="Q168" i="1"/>
  <c r="O168" i="1"/>
  <c r="Q255" i="1"/>
  <c r="O255" i="1"/>
  <c r="Q271" i="1"/>
  <c r="Q211" i="1"/>
  <c r="O211" i="1"/>
  <c r="O163" i="1"/>
  <c r="Q163" i="1"/>
  <c r="Q286" i="1"/>
  <c r="O286" i="1"/>
  <c r="Q260" i="1"/>
  <c r="O260" i="1"/>
  <c r="Q217" i="1"/>
  <c r="O217" i="1"/>
  <c r="O189" i="1"/>
  <c r="Q189" i="1"/>
  <c r="O174" i="1"/>
  <c r="Q205" i="1"/>
  <c r="Q164" i="1"/>
  <c r="O164" i="1"/>
  <c r="O186" i="1"/>
  <c r="Q186" i="1"/>
  <c r="Q165" i="1"/>
  <c r="O165" i="1"/>
  <c r="Q182" i="1"/>
  <c r="O182" i="1"/>
  <c r="D305" i="1"/>
  <c r="Q194" i="1"/>
  <c r="O194" i="1"/>
  <c r="Q96" i="1"/>
  <c r="O96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O196" i="1"/>
  <c r="Q196" i="1"/>
  <c r="O226" i="1"/>
  <c r="Q226" i="1"/>
  <c r="M125" i="1"/>
  <c r="O125" i="1"/>
  <c r="Q10" i="1"/>
  <c r="M10" i="1"/>
  <c r="M9" i="1"/>
  <c r="O9" i="1"/>
  <c r="Q9" i="1"/>
  <c r="M8" i="1"/>
  <c r="M87" i="1"/>
  <c r="O87" i="1"/>
  <c r="Q87" i="1"/>
  <c r="M111" i="1"/>
  <c r="O111" i="1"/>
  <c r="Q111" i="1"/>
  <c r="M91" i="1"/>
  <c r="O91" i="1"/>
  <c r="M149" i="1"/>
  <c r="O149" i="1"/>
  <c r="Q149" i="1"/>
  <c r="M129" i="1"/>
  <c r="O129" i="1"/>
  <c r="Q129" i="1"/>
  <c r="M147" i="1"/>
  <c r="O147" i="1"/>
  <c r="M86" i="1"/>
  <c r="O86" i="1"/>
  <c r="Q86" i="1"/>
  <c r="M104" i="1"/>
  <c r="O104" i="1"/>
  <c r="Q104" i="1"/>
  <c r="M119" i="1"/>
  <c r="O119" i="1"/>
  <c r="Q119" i="1"/>
  <c r="M126" i="1"/>
  <c r="O126" i="1"/>
  <c r="Q126" i="1"/>
  <c r="Q166" i="1"/>
  <c r="M166" i="1"/>
  <c r="O166" i="1"/>
  <c r="M169" i="1"/>
  <c r="O169" i="1"/>
  <c r="Q169" i="1"/>
  <c r="M156" i="1"/>
  <c r="O156" i="1"/>
  <c r="Q156" i="1"/>
  <c r="M132" i="1"/>
  <c r="O132" i="1"/>
  <c r="Q132" i="1"/>
  <c r="M68" i="1"/>
  <c r="O68" i="1"/>
  <c r="Q68" i="1"/>
  <c r="M94" i="1"/>
  <c r="O94" i="1"/>
  <c r="Q94" i="1"/>
  <c r="M123" i="1"/>
  <c r="O123" i="1"/>
  <c r="Q123" i="1"/>
  <c r="M144" i="1"/>
  <c r="O144" i="1"/>
  <c r="Q144" i="1"/>
  <c r="M97" i="1"/>
  <c r="O97" i="1"/>
  <c r="M106" i="1"/>
  <c r="O106" i="1"/>
  <c r="M118" i="1"/>
  <c r="O118" i="1"/>
  <c r="Q118" i="1"/>
  <c r="M90" i="1"/>
  <c r="O90" i="1"/>
  <c r="Q90" i="1"/>
  <c r="M89" i="1"/>
  <c r="O89" i="1"/>
  <c r="M95" i="1"/>
  <c r="O95" i="1"/>
  <c r="Q95" i="1"/>
  <c r="M84" i="1"/>
  <c r="O84" i="1"/>
  <c r="Q84" i="1"/>
  <c r="M116" i="1"/>
  <c r="O116" i="1"/>
  <c r="Q116" i="1"/>
  <c r="M110" i="1"/>
  <c r="O110" i="1"/>
  <c r="Q110" i="1"/>
  <c r="O197" i="1"/>
  <c r="Q197" i="1"/>
  <c r="Q160" i="1"/>
  <c r="Q138" i="1"/>
  <c r="O137" i="1"/>
  <c r="Q137" i="1"/>
  <c r="Q73" i="1"/>
  <c r="D252" i="1"/>
  <c r="B252" i="1"/>
  <c r="O107" i="1"/>
  <c r="Q107" i="1"/>
  <c r="D244" i="1"/>
  <c r="B244" i="1"/>
  <c r="Q203" i="1"/>
  <c r="O148" i="1"/>
  <c r="Q148" i="1"/>
  <c r="O153" i="1"/>
  <c r="Q153" i="1"/>
  <c r="O159" i="1"/>
  <c r="Q159" i="1"/>
  <c r="Q158" i="1"/>
  <c r="O154" i="1"/>
  <c r="Q154" i="1"/>
  <c r="O170" i="1"/>
  <c r="Q170" i="1"/>
  <c r="O155" i="1"/>
  <c r="Q155" i="1"/>
  <c r="O83" i="1"/>
  <c r="O135" i="1"/>
  <c r="Q135" i="1"/>
  <c r="O114" i="1"/>
  <c r="Q114" i="1"/>
  <c r="O133" i="1"/>
  <c r="Q133" i="1"/>
  <c r="Q142" i="1"/>
  <c r="O56" i="1"/>
  <c r="Q56" i="1"/>
  <c r="Q88" i="1"/>
  <c r="O136" i="1"/>
  <c r="Q136" i="1"/>
  <c r="O151" i="1"/>
  <c r="Q151" i="1"/>
  <c r="O128" i="1"/>
  <c r="Q128" i="1"/>
  <c r="O130" i="1"/>
  <c r="Q130" i="1"/>
  <c r="Q30" i="1"/>
  <c r="O150" i="1"/>
  <c r="Q150" i="1"/>
  <c r="M79" i="1"/>
  <c r="M25" i="1"/>
  <c r="O25" i="1"/>
  <c r="Q25" i="1"/>
  <c r="M37" i="1"/>
  <c r="O37" i="1"/>
  <c r="Q37" i="1"/>
  <c r="M17" i="1"/>
  <c r="O17" i="1"/>
  <c r="Q17" i="1"/>
  <c r="M29" i="1"/>
  <c r="O29" i="1"/>
  <c r="Q29" i="1"/>
  <c r="M41" i="1"/>
  <c r="O41" i="1"/>
  <c r="Q41" i="1"/>
  <c r="M18" i="1"/>
  <c r="O18" i="1"/>
  <c r="Q18" i="1"/>
  <c r="M13" i="1"/>
  <c r="O13" i="1"/>
  <c r="M66" i="1"/>
  <c r="O66" i="1"/>
  <c r="Q66" i="1"/>
  <c r="M39" i="1"/>
  <c r="O39" i="1"/>
  <c r="Q39" i="1"/>
  <c r="M20" i="1"/>
  <c r="O20" i="1"/>
  <c r="M36" i="1"/>
  <c r="O36" i="1"/>
  <c r="M24" i="1"/>
  <c r="O24" i="1"/>
  <c r="Q24" i="1"/>
  <c r="M65" i="1"/>
  <c r="O65" i="1"/>
  <c r="Q65" i="1"/>
  <c r="M122" i="1"/>
  <c r="O122" i="1"/>
  <c r="M26" i="1"/>
  <c r="O26" i="1"/>
  <c r="Q26" i="1"/>
  <c r="M27" i="1"/>
  <c r="O27" i="1"/>
  <c r="Q27" i="1"/>
  <c r="M31" i="1"/>
  <c r="O31" i="1"/>
  <c r="Q31" i="1"/>
  <c r="M14" i="1"/>
  <c r="O14" i="1"/>
  <c r="Q14" i="1"/>
  <c r="M32" i="1"/>
  <c r="O32" i="1"/>
  <c r="Q32" i="1"/>
  <c r="M6" i="1"/>
  <c r="O6" i="1"/>
  <c r="M124" i="1"/>
  <c r="O124" i="1"/>
  <c r="Q124" i="1"/>
  <c r="M62" i="1"/>
  <c r="O62" i="1"/>
  <c r="Q62" i="1"/>
  <c r="M134" i="1"/>
  <c r="O134" i="1"/>
  <c r="Q134" i="1"/>
  <c r="M109" i="1"/>
  <c r="O109" i="1"/>
  <c r="Q109" i="1"/>
  <c r="M33" i="1"/>
  <c r="O33" i="1"/>
  <c r="Q33" i="1"/>
  <c r="M74" i="1"/>
  <c r="O74" i="1"/>
  <c r="Q74" i="1"/>
  <c r="M72" i="1"/>
  <c r="O72" i="1"/>
  <c r="Q72" i="1"/>
  <c r="M139" i="1"/>
  <c r="O139" i="1"/>
  <c r="Q139" i="1"/>
  <c r="M23" i="1"/>
  <c r="O23" i="1"/>
  <c r="Q23" i="1"/>
  <c r="M71" i="1"/>
  <c r="O71" i="1"/>
  <c r="Q71" i="1"/>
  <c r="M21" i="1"/>
  <c r="O21" i="1"/>
  <c r="Q21" i="1"/>
  <c r="M61" i="1"/>
  <c r="O61" i="1"/>
  <c r="Q61" i="1"/>
  <c r="O117" i="1"/>
  <c r="Q117" i="1"/>
  <c r="N157" i="1"/>
  <c r="O157" i="1"/>
  <c r="Q157" i="1"/>
  <c r="O101" i="1"/>
  <c r="Q101" i="1"/>
  <c r="O143" i="1"/>
  <c r="Q143" i="1"/>
  <c r="Q92" i="1"/>
  <c r="O112" i="1"/>
  <c r="Q112" i="1"/>
  <c r="O103" i="1"/>
  <c r="Q103" i="1"/>
  <c r="O98" i="1"/>
  <c r="Q98" i="1"/>
  <c r="O59" i="1"/>
  <c r="Q59" i="1"/>
  <c r="O120" i="1"/>
  <c r="Q120" i="1"/>
  <c r="O113" i="1"/>
  <c r="Q113" i="1"/>
  <c r="Q34" i="1"/>
  <c r="O108" i="1"/>
  <c r="Q108" i="1"/>
  <c r="O99" i="1"/>
  <c r="Q99" i="1"/>
  <c r="O127" i="1"/>
  <c r="Q127" i="1"/>
  <c r="O102" i="1"/>
  <c r="Q102" i="1"/>
  <c r="O19" i="1"/>
  <c r="Q19" i="1"/>
  <c r="O43" i="1"/>
  <c r="Q43" i="1"/>
  <c r="O44" i="1"/>
  <c r="Q44" i="1"/>
  <c r="O54" i="1"/>
  <c r="Q54" i="1"/>
  <c r="O40" i="1"/>
  <c r="Q40" i="1"/>
  <c r="O12" i="1"/>
  <c r="Q58" i="1"/>
  <c r="O70" i="1"/>
  <c r="Q70" i="1"/>
  <c r="O79" i="1"/>
  <c r="Q79" i="1"/>
  <c r="O77" i="1"/>
  <c r="Q77" i="1"/>
  <c r="O82" i="1"/>
  <c r="Q82" i="1"/>
  <c r="O53" i="1"/>
  <c r="Q53" i="1"/>
  <c r="O80" i="1"/>
  <c r="Q80" i="1"/>
  <c r="O76" i="1"/>
  <c r="Q76" i="1"/>
  <c r="O57" i="1"/>
  <c r="Q57" i="1"/>
  <c r="Q42" i="1"/>
  <c r="M15" i="1"/>
  <c r="O15" i="1"/>
  <c r="Q15" i="1"/>
  <c r="M4" i="1"/>
  <c r="O4" i="1"/>
  <c r="M48" i="1"/>
  <c r="O48" i="1"/>
  <c r="Q48" i="1"/>
  <c r="M11" i="1"/>
  <c r="O11" i="1"/>
  <c r="Q11" i="1"/>
  <c r="M50" i="1"/>
  <c r="O50" i="1"/>
  <c r="O22" i="1"/>
  <c r="Q22" i="1"/>
  <c r="O115" i="1"/>
  <c r="Q115" i="1"/>
  <c r="O78" i="1"/>
  <c r="Q78" i="1"/>
  <c r="O93" i="1"/>
  <c r="O81" i="1"/>
  <c r="Q81" i="1"/>
  <c r="O75" i="1"/>
  <c r="Q75" i="1"/>
  <c r="O45" i="1"/>
  <c r="Q45" i="1"/>
  <c r="O60" i="1"/>
  <c r="Q60" i="1"/>
  <c r="O16" i="1"/>
  <c r="Q16" i="1"/>
  <c r="O67" i="1"/>
  <c r="Q67" i="1"/>
  <c r="O63" i="1"/>
  <c r="Q63" i="1"/>
  <c r="O28" i="1"/>
  <c r="Q28" i="1"/>
  <c r="J58" i="1"/>
  <c r="D35" i="1"/>
</calcChain>
</file>

<file path=xl/comments1.xml><?xml version="1.0" encoding="utf-8"?>
<comments xmlns="http://schemas.openxmlformats.org/spreadsheetml/2006/main">
  <authors>
    <author>Caroline</author>
    <author>Nancy Ross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Caroline:</t>
        </r>
        <r>
          <rPr>
            <sz val="9"/>
            <color indexed="81"/>
            <rFont val="Tahoma"/>
            <family val="2"/>
          </rPr>
          <t xml:space="preserve">
expense + overage </t>
        </r>
      </text>
    </comment>
    <comment ref="I252" authorId="1">
      <text>
        <r>
          <rPr>
            <b/>
            <sz val="9"/>
            <color indexed="81"/>
            <rFont val="Arial"/>
          </rPr>
          <t>Nancy Ross:</t>
        </r>
        <r>
          <rPr>
            <sz val="9"/>
            <color indexed="81"/>
            <rFont val="Arial"/>
          </rPr>
          <t xml:space="preserve">
Includes digital download of album
3.4$9 / ticket  deducted at settlement</t>
        </r>
      </text>
    </comment>
  </commentList>
</comments>
</file>

<file path=xl/sharedStrings.xml><?xml version="1.0" encoding="utf-8"?>
<sst xmlns="http://schemas.openxmlformats.org/spreadsheetml/2006/main" count="2217" uniqueCount="663">
  <si>
    <t>Greenland Productions</t>
  </si>
  <si>
    <t>please keep in order of show number</t>
  </si>
  <si>
    <t xml:space="preserve"> </t>
  </si>
  <si>
    <t>split</t>
  </si>
  <si>
    <t>SPLIT</t>
  </si>
  <si>
    <t>Box off</t>
  </si>
  <si>
    <t>Day</t>
  </si>
  <si>
    <t>Date</t>
  </si>
  <si>
    <t>Artist</t>
  </si>
  <si>
    <t>Cap</t>
  </si>
  <si>
    <t>TIX $$</t>
  </si>
  <si>
    <r>
      <rPr>
        <b/>
        <sz val="8"/>
        <rFont val="Arial"/>
        <family val="2"/>
      </rPr>
      <t>Cume Cap</t>
    </r>
  </si>
  <si>
    <t>Paid Attend</t>
  </si>
  <si>
    <t>Total Revenue</t>
  </si>
  <si>
    <t>Total Expenses</t>
  </si>
  <si>
    <t>Profit / Loss</t>
  </si>
  <si>
    <t xml:space="preserve">Percentage Split </t>
  </si>
  <si>
    <t xml:space="preserve">Total </t>
  </si>
  <si>
    <t>Agency</t>
  </si>
  <si>
    <t>TALENT BUYER</t>
  </si>
  <si>
    <t>EVENKO / GREENLAND</t>
  </si>
  <si>
    <t>TUESDAY</t>
  </si>
  <si>
    <t>FRIDAY</t>
  </si>
  <si>
    <t>MONDAY</t>
  </si>
  <si>
    <t>METROPOLIS</t>
  </si>
  <si>
    <t>DANIEL GLICK</t>
  </si>
  <si>
    <t>JOELLE BERTRAND</t>
  </si>
  <si>
    <t>THURSDAY</t>
  </si>
  <si>
    <t>WILLIAM MORRIS (CA)</t>
  </si>
  <si>
    <t>VIRGIN MOBILE CORONA THEATER</t>
  </si>
  <si>
    <t>$25.00 / $30.00</t>
  </si>
  <si>
    <t>GREENLAND / EVENKO</t>
  </si>
  <si>
    <t>SATURDAY</t>
  </si>
  <si>
    <t>DIVAN ORANGE</t>
  </si>
  <si>
    <t>$17.50 / $20.00</t>
  </si>
  <si>
    <t>PARTISAN ARTS</t>
  </si>
  <si>
    <t>S.L. FELDMAN &amp; ASSOCIATES (ON)</t>
  </si>
  <si>
    <t>$27.50 / $30.00</t>
  </si>
  <si>
    <t>$18.00 / $20.00</t>
  </si>
  <si>
    <t>THE AGENCY GROUP CANADA</t>
  </si>
  <si>
    <t>$25.00 / $28.00</t>
  </si>
  <si>
    <t>THE AGENCY GROUP NEW YORK</t>
  </si>
  <si>
    <t>CREATIVE ARTISTS AGENCY</t>
  </si>
  <si>
    <t>FRANCIS LATREILLE</t>
  </si>
  <si>
    <t>BLACK LABEL SOCIETY / HATEBREED / BUTCHER BABIES</t>
  </si>
  <si>
    <t>$42.50 / $45.00</t>
  </si>
  <si>
    <t>SHANE KOYCZAN</t>
  </si>
  <si>
    <t xml:space="preserve">STARS / HEY ROSETTA! </t>
  </si>
  <si>
    <t>DAN MANGAN / HAYDEN</t>
  </si>
  <si>
    <t>CAFÉ CAMPUS</t>
  </si>
  <si>
    <t>THE WINDISH AGENCY</t>
  </si>
  <si>
    <t>BILLY IDOL / BRONCHO</t>
  </si>
  <si>
    <t>$55.00 / $60..00</t>
  </si>
  <si>
    <t>$22.00 / $25.00</t>
  </si>
  <si>
    <t>UNITED TALENT AGENCY</t>
  </si>
  <si>
    <t>JEAN-FRANCOIS MICHAUD</t>
  </si>
  <si>
    <t>SALA ROSSA</t>
  </si>
  <si>
    <t>$16.00 / $18.00</t>
  </si>
  <si>
    <t>HIGH ROAD TOURING</t>
  </si>
  <si>
    <t>BC</t>
  </si>
  <si>
    <t>EVENKO / GREENLAND / LIVE NATION</t>
  </si>
  <si>
    <t>CENTRE BELL</t>
  </si>
  <si>
    <t>$75.00 / $59.50 / $45.00</t>
  </si>
  <si>
    <t>$33.00 / $38.00</t>
  </si>
  <si>
    <t>ICM ARTISTS INC.</t>
  </si>
  <si>
    <t>JOSHUA RADIN / RACHEL YAMAGATA / CARY BROTHERS</t>
  </si>
  <si>
    <t>RU PAUL'S DRAG RACE / CARY NOKEY</t>
  </si>
  <si>
    <t>OLYMPIA</t>
  </si>
  <si>
    <t>$35.00 / $45.00 / $75.00</t>
  </si>
  <si>
    <t>Jan 1 to Dec 31, 2015</t>
  </si>
  <si>
    <t>PARADIGM</t>
  </si>
  <si>
    <t>TAKING BACK SUNDAY / THE MENZINGERS / LETLIVE</t>
  </si>
  <si>
    <t>$29.50 / $35.00</t>
  </si>
  <si>
    <t>FRIDAY + SATURDAY</t>
  </si>
  <si>
    <t>06-07-Mar</t>
  </si>
  <si>
    <t>WEDNESDAY</t>
  </si>
  <si>
    <t>$32.50 / $35.00 / $75.00</t>
  </si>
  <si>
    <t>KONGOS / SIR SLY / COLONY HOUSE</t>
  </si>
  <si>
    <t>FATHER JOHN MISTY / GUY BLAKESLEE</t>
  </si>
  <si>
    <t>$23.00 / $25.00</t>
  </si>
  <si>
    <t>NANCY ROSS</t>
  </si>
  <si>
    <t>$22.50 / $25.00</t>
  </si>
  <si>
    <t>ECHOSMITH / THE COLOURIST</t>
  </si>
  <si>
    <t>EVELYNE COTE</t>
  </si>
  <si>
    <t>GUTTER DEMONS / MATCHLESS</t>
  </si>
  <si>
    <t>PETIT CAMPUS</t>
  </si>
  <si>
    <t>$13.00 / $15.00</t>
  </si>
  <si>
    <t>N/A</t>
  </si>
  <si>
    <t>EVENKO / GREENLAND / NEON</t>
  </si>
  <si>
    <t>LA S.A.T.</t>
  </si>
  <si>
    <t>$ 25 / $30</t>
  </si>
  <si>
    <t>EVENKO / GREENLAND / EXTENSIVE</t>
  </si>
  <si>
    <t>MACHINE HEAD</t>
  </si>
  <si>
    <t>$26.00 / $29.00</t>
  </si>
  <si>
    <t>BEHEMOTH / CANNIBAL CORPSE / TRIBULATION / AEON</t>
  </si>
  <si>
    <t>$30.00 / $34.00</t>
  </si>
  <si>
    <t>NEON / EVENKO / GREENLAND</t>
  </si>
  <si>
    <t>BORGORE / OOKAY / JAWS</t>
  </si>
  <si>
    <t xml:space="preserve">WILLIAM MORRIS </t>
  </si>
  <si>
    <t>NEON</t>
  </si>
  <si>
    <t>NEW PORNOGRAPHERS / OPERATORS</t>
  </si>
  <si>
    <t>THE BILLIONS CORPORATION</t>
  </si>
  <si>
    <t>$20.00 / $25.00</t>
  </si>
  <si>
    <t>BLACK VEIL BRIDES / MEMPHIS MAY FIRE / GHOST TOWN</t>
  </si>
  <si>
    <t>$29.50 / $33.00</t>
  </si>
  <si>
    <t>THE AGENCY GROUP NY</t>
  </si>
  <si>
    <t>BIG SUGAR (ACOUSTIC)</t>
  </si>
  <si>
    <t>$35.00 / $40.00</t>
  </si>
  <si>
    <t>LA VITROLA</t>
  </si>
  <si>
    <t>$18.50 / $20.00</t>
  </si>
  <si>
    <t>BAR LE RITZ</t>
  </si>
  <si>
    <t>$15.00 / $17.00</t>
  </si>
  <si>
    <t>$17.00 / $20.00</t>
  </si>
  <si>
    <t>DATSIK / BIG TOOTH DJ'S</t>
  </si>
  <si>
    <t>$27.00 / $32.00</t>
  </si>
  <si>
    <t>$26.50 / $30.00</t>
  </si>
  <si>
    <t>G-EAZY / KEHLANI / KOOL JOHN / JAY ANT</t>
  </si>
  <si>
    <t>EXCISION / TBD</t>
  </si>
  <si>
    <t>CIRCLE TALENT AGENCY</t>
  </si>
  <si>
    <t>JOSE GONZALEZ / OLAF ARNALDS</t>
  </si>
  <si>
    <t>PENTHOUSE</t>
  </si>
  <si>
    <t>$10.00 / $15.00 / $20.00 / $25.00 $30.00</t>
  </si>
  <si>
    <t>APA</t>
  </si>
  <si>
    <t>PENTHOUSE / PRIVATE PLANET /  EVENKO / GREENLAND</t>
  </si>
  <si>
    <t>JIM-E STACK / TBD</t>
  </si>
  <si>
    <t>LE BLEURY</t>
  </si>
  <si>
    <t>$10.00 / $12.00</t>
  </si>
  <si>
    <t>AM ONLY</t>
  </si>
  <si>
    <t>$16.00 / $20.00</t>
  </si>
  <si>
    <t>CABARET FAIRMOUNT</t>
  </si>
  <si>
    <t>WINDISH</t>
  </si>
  <si>
    <t>SJU / NEON / EVENKO / GREENLAND</t>
  </si>
  <si>
    <t>ASAF AVIDAN / TBA</t>
  </si>
  <si>
    <t>$30.00 / $35.00</t>
  </si>
  <si>
    <t>THE AGENCY GROUP LA</t>
  </si>
  <si>
    <t>FOUFOUNES ELECTRIQUES</t>
  </si>
  <si>
    <t>ATOMIC</t>
  </si>
  <si>
    <t>REVEREND HORTON HEAT / NEKROMANTIX / THE BRAINS</t>
  </si>
  <si>
    <t>PICCOLO RIALTO</t>
  </si>
  <si>
    <t>SUNDAY</t>
  </si>
  <si>
    <t>ANDREW JACKSON JIHAD / THE SMITH STREET BAND / JEFF ROSENTOCK / CHUMPED</t>
  </si>
  <si>
    <t>$22.00 / $24.00</t>
  </si>
  <si>
    <t>LE BELMONT</t>
  </si>
  <si>
    <t>CLUB SODA</t>
  </si>
  <si>
    <t>FELDMAN &amp; ASSOCIATES</t>
  </si>
  <si>
    <t>$25.00 / $27.00</t>
  </si>
  <si>
    <t>$26.50 / $28.00</t>
  </si>
  <si>
    <t>MILKY CHANCE / JAMES HERSEY</t>
  </si>
  <si>
    <t>HAMILTON LEITHAUSER / HIGHS</t>
  </si>
  <si>
    <t>SIDEWALK CHALK / STATIC GOLD</t>
  </si>
  <si>
    <t>QUAI DES BRUMES</t>
  </si>
  <si>
    <t>SHOTWELL BOOKING</t>
  </si>
  <si>
    <t>GREENLAND / EVENKO / SJU</t>
  </si>
  <si>
    <t>$23.50/ $25.00</t>
  </si>
  <si>
    <t>$32.50 / $35.00</t>
  </si>
  <si>
    <t>FRNKIERO AND THE CELLABRATION / THE HOMELESS GOSPEL CHOIR / MODERN CHEMISTRY</t>
  </si>
  <si>
    <t>KATACOMBES</t>
  </si>
  <si>
    <t>BROODS / ERIK HASSLE</t>
  </si>
  <si>
    <t>BEN HOWARD / WILLY MASON</t>
  </si>
  <si>
    <t>`</t>
  </si>
  <si>
    <t>BROOKE FRASER / DARK WAVES</t>
  </si>
  <si>
    <t>THE CAT EMPIRE / CURRENT SWELL</t>
  </si>
  <si>
    <t>THE REAL MCKENZIES / THE ISOTOPES / BOIDS</t>
  </si>
  <si>
    <t>CASA DEL POPOLO</t>
  </si>
  <si>
    <t>10+11-Apr</t>
  </si>
  <si>
    <t>GAZOLINE / THE MANDEVILLES / THE MOHRS</t>
  </si>
  <si>
    <t>AMBIANCE AMBIGUES</t>
  </si>
  <si>
    <t>UNION / GREENLAND / EVENKO</t>
  </si>
  <si>
    <t>LA TULIPE</t>
  </si>
  <si>
    <t>$25.00 / $75.00</t>
  </si>
  <si>
    <t>CAA</t>
  </si>
  <si>
    <t>UNION</t>
  </si>
  <si>
    <t>THE TRAGICALY HIP</t>
  </si>
  <si>
    <t>$49.50 / $59.50 / $79.50 / $125.00</t>
  </si>
  <si>
    <t>NICKELBACK / THE PRETTY RECKLESS</t>
  </si>
  <si>
    <t>$25.00 / $50.00 / $70.00 / $90.00</t>
  </si>
  <si>
    <t>ANTI-FLAG / THE DYING ARTS / WORLD"S SCARIEST POLICE CHASES</t>
  </si>
  <si>
    <t>CHARLIE WINSTON / ANDREW AUSTIN</t>
  </si>
  <si>
    <t>PENNYWISE / A WILHELM SCREAM / TEENAGE BOTTLEROCKET / TBA</t>
  </si>
  <si>
    <t>KALIN AND MYLES / JACQUIE LEE</t>
  </si>
  <si>
    <t>GLADIATOR / SLEEPY TOM / ROBERT ROBERT</t>
  </si>
  <si>
    <t>MAKE DO AND MEND / DEAD TIRED / LOST LOVE</t>
  </si>
  <si>
    <t>BILLIONS</t>
  </si>
  <si>
    <t>CAFE CAMPUS</t>
  </si>
  <si>
    <t>CATFISH &amp; THE BOTTLEMEN / WILD PARTY</t>
  </si>
  <si>
    <t>EVENKO / GREENLAND / SJU</t>
  </si>
  <si>
    <t>THEATRE FAIRMOUNT</t>
  </si>
  <si>
    <t>$18.00 / $22.00</t>
  </si>
  <si>
    <t>EVENKO / GREENLAND / BSTB</t>
  </si>
  <si>
    <t>DEATH CAB FOR CUTIE / THE ANTLERS</t>
  </si>
  <si>
    <t>$50.00 / $60.00</t>
  </si>
  <si>
    <t>$16.50 / $20.00</t>
  </si>
  <si>
    <t>PEKING DUK / BEAT MARKET</t>
  </si>
  <si>
    <t>SPIN ARTIST AGENCY</t>
  </si>
  <si>
    <t>KIESZA / BETTY WHO</t>
  </si>
  <si>
    <t>WILLIAM MORRIS (CANADA)</t>
  </si>
  <si>
    <t>$21.50 / $23.00</t>
  </si>
  <si>
    <t>35.00 / $40.00</t>
  </si>
  <si>
    <t>GREENLAND / EVENKO / BSTB / POP</t>
  </si>
  <si>
    <t>GREENLAND / EVENKO / BSTB</t>
  </si>
  <si>
    <t>$15.00 / $18.00</t>
  </si>
  <si>
    <t>EVENKO / GREENLAND / PITCH</t>
  </si>
  <si>
    <t>ARKELLS / DEAR ROUGE</t>
  </si>
  <si>
    <t>BRIGHT LIGHT SOCIAL HOUR / TALK IN TONGUES</t>
  </si>
  <si>
    <t>AT THE GATES / CONVERGE / VALLENFYRE / PALLBEARER / PHOBOCOSM</t>
  </si>
  <si>
    <t>SAM ROBERTS / THE HIGH DIALS / RECEIVERS</t>
  </si>
  <si>
    <t>MILO GREENE / WARDELL</t>
  </si>
  <si>
    <t>THE KOOKS / JOYWAVE / YOUNG RISING SONS</t>
  </si>
  <si>
    <t>$31.00 / $34.00</t>
  </si>
  <si>
    <t>REDINHO / TBA</t>
  </si>
  <si>
    <t>$12.00 / $15.00</t>
  </si>
  <si>
    <t>COUNTING CROWS / TWIN FORKS</t>
  </si>
  <si>
    <t>$59.50 / $65.00</t>
  </si>
  <si>
    <t>TWIN SHADOW / LOLAWOLF</t>
  </si>
  <si>
    <t>BENJAMIN BOOKER / OLIVIA JEAN</t>
  </si>
  <si>
    <t>$45.00 / $50.00</t>
  </si>
  <si>
    <t>PAQUIN</t>
  </si>
  <si>
    <t>A * STAR/ TBA</t>
  </si>
  <si>
    <t xml:space="preserve">ROCCO DELUCA /  OLD MAN </t>
  </si>
  <si>
    <t>$37.50 / $40.00</t>
  </si>
  <si>
    <t>STRUNG OUT / LA ARMADA / RED CITY RADIO</t>
  </si>
  <si>
    <t>LEAVE HOME BOOKING</t>
  </si>
  <si>
    <t>PURITY RING / BRAIDS / BORN GOLD</t>
  </si>
  <si>
    <t>JESSIE J / ANDEE</t>
  </si>
  <si>
    <t>BRODINSKI / MYD(CLUB CHEVAL) / PRINCE CLUB</t>
  </si>
  <si>
    <t>PHILIP SAYCE</t>
  </si>
  <si>
    <t>18+19-Apr</t>
  </si>
  <si>
    <t>SATURDAY + SUNDAY</t>
  </si>
  <si>
    <t>$27.50 / 30.00</t>
  </si>
  <si>
    <t>$14.00 / $16.00</t>
  </si>
  <si>
    <t>HOUNDMOUTH / PARKER MILLSAP</t>
  </si>
  <si>
    <t>JOEL PLASKETT / MO KENNEDY</t>
  </si>
  <si>
    <t>AMARANTHE / I PREVAIL / SANTA CRUZ</t>
  </si>
  <si>
    <t>AGI (NY)</t>
  </si>
  <si>
    <t>WMA</t>
  </si>
  <si>
    <t>EVELYNE CÔTÉ</t>
  </si>
  <si>
    <t>KODALINE / GAVIN JAMES</t>
  </si>
  <si>
    <t>TAG TO</t>
  </si>
  <si>
    <t>EVENKO / GREENLAND / RICKEY D</t>
  </si>
  <si>
    <t>CORONA</t>
  </si>
  <si>
    <t>ICM</t>
  </si>
  <si>
    <t>HANNI EL KHATIB / BLACK PISTOL FIRE</t>
  </si>
  <si>
    <t>J. COLE / BIG SEAN / JEREMIH / YG</t>
  </si>
  <si>
    <t>$45.75 / $65.75 / $80.75</t>
  </si>
  <si>
    <t>GORGON CITY / MY NU LENG / WAYWARD / KIDNAP KID</t>
  </si>
  <si>
    <t>WILLIAM FITZSIMMONS / DENISON WITMER</t>
  </si>
  <si>
    <t>SJU / EVENKO / GREENLAND</t>
  </si>
  <si>
    <t>THEOPHILUS LONDON / FATHER</t>
  </si>
  <si>
    <t>$34.50 / $40.00</t>
  </si>
  <si>
    <t>THE LONE BELLOW / ODESSA</t>
  </si>
  <si>
    <t>ENSLAVED / YOB / ECSTATIC VISION / SHOW OF BEDLAM</t>
  </si>
  <si>
    <t>LE CINQ / NEW BEATS NOW / EVENKO / GREENLAND</t>
  </si>
  <si>
    <t>LE CINQ</t>
  </si>
  <si>
    <t>$12.00 / $15.00 / $18.00 / $30.00</t>
  </si>
  <si>
    <t>$28.50 / $30.00</t>
  </si>
  <si>
    <t>OTHER LIVES / RIOTHORSE ROYALE</t>
  </si>
  <si>
    <t>$27.00 / $30.00</t>
  </si>
  <si>
    <t>APOCALYPTIA / ART OF DYING</t>
  </si>
  <si>
    <t>VERITE / HEART STREETS</t>
  </si>
  <si>
    <t>CHRIS CRESSWELL / IAN GRAHAM / CHRIS SNELGROVE</t>
  </si>
  <si>
    <t>TRH BAR</t>
  </si>
  <si>
    <t>JAMES BAY / MARC SCIBILIA</t>
  </si>
  <si>
    <t>CALEXICO / GABY MORENO</t>
  </si>
  <si>
    <t>WILLIAM MORRIS AGENCY (NY)</t>
  </si>
  <si>
    <t>$20.00 / $23.00</t>
  </si>
  <si>
    <t>$26.00 / $28.50</t>
  </si>
  <si>
    <t>THE MENZINGERS / CHUMPED / ROGER HARVEY</t>
  </si>
  <si>
    <t>TAME IMPALA / MINI MANSIONS</t>
  </si>
  <si>
    <t>FLEMING ARTISTS</t>
  </si>
  <si>
    <t>$23.50 / $26.00</t>
  </si>
  <si>
    <t>CAMM HUNTER / TY LEMCO</t>
  </si>
  <si>
    <t>PUBLIC SERVICE BROADCASTING / KAUF</t>
  </si>
  <si>
    <t>NOSAJ THING / CLARK / SIBIAN &amp; FAUN</t>
  </si>
  <si>
    <t>ACTIVE CHILD / LOW ROAR</t>
  </si>
  <si>
    <t>LION D'OR</t>
  </si>
  <si>
    <t>$17.00 / $19.00</t>
  </si>
  <si>
    <t>FRITZ KALKBRENNER / DJEBALI / ADAM HUSA / DRISS SKALI</t>
  </si>
  <si>
    <t>SIMON PATTERSON / DJ KARL K OTIK</t>
  </si>
  <si>
    <t>SAM SMITH / GEORGE EZRA</t>
  </si>
  <si>
    <t>DAVE HAUSE / KALLE MATTISON / GREG LARAIGNE</t>
  </si>
  <si>
    <t>PINNACLE ENTERTAINMENT</t>
  </si>
  <si>
    <t>$22.50 / $26.00</t>
  </si>
  <si>
    <t>FLOWER BOOKING</t>
  </si>
  <si>
    <t>NICK FARKAS</t>
  </si>
  <si>
    <t>THE WATERBOYS / CONNOR KENNEDY &amp; MINSTREL</t>
  </si>
  <si>
    <t>STU LARSEN &amp; NATSUKI KURAI / MATT SANDERS</t>
  </si>
  <si>
    <t>FRANCESCO YATES / COLEMAN HELL</t>
  </si>
  <si>
    <t>RISE AGAINST / KILLSWITCH ENGAGE / LETLIVE</t>
  </si>
  <si>
    <t>$56.00 / $60.00</t>
  </si>
  <si>
    <t>THE MOWGLI'S  / NIGHT RIOTS / HIPPO CAMPUS</t>
  </si>
  <si>
    <t>20+21-May</t>
  </si>
  <si>
    <t>$21.00 / $25.00</t>
  </si>
  <si>
    <t>STEEL PANTHER / FUTURE VILLAINS</t>
  </si>
  <si>
    <t>SPOON / THE ANTLERS</t>
  </si>
  <si>
    <t>BUSTY AND THE BASS / FOREIGN DIPLOMATS</t>
  </si>
  <si>
    <t>RANDY BACHMAN / THE MATINEE</t>
  </si>
  <si>
    <t>LEON BRIDGES / JAKE PALESCHIC</t>
  </si>
  <si>
    <t>LITTLE DRAGON / SOSUPERSAM</t>
  </si>
  <si>
    <t>MARIAN HILL / WYLN</t>
  </si>
  <si>
    <t>LILLYWOOD &amp; THE PRICK / FRENCH HORN REBELLION</t>
  </si>
  <si>
    <t>DAMIEN RICE  / MIA MAESTRO</t>
  </si>
  <si>
    <t>EAST INDIA YOUTH / FRAGILE FEET</t>
  </si>
  <si>
    <t>GERARD WAY / NUNS</t>
  </si>
  <si>
    <t>RHYE / HAERTS</t>
  </si>
  <si>
    <t>$40.00 / $49.50</t>
  </si>
  <si>
    <t>O PATRO VYS</t>
  </si>
  <si>
    <t>SUNDAY + MONDAY</t>
  </si>
  <si>
    <t>26-Apr + 27-Apr</t>
  </si>
  <si>
    <t>GUERETTE</t>
  </si>
  <si>
    <t>PALMA VIOLETS / PUBLIC ACCESS T.V.</t>
  </si>
  <si>
    <t>ANDREW BAYER / TOMAC / LEX &amp; WOOD</t>
  </si>
  <si>
    <t>JUSTIN NOZUKA / CHRISTIAN BRIDGES</t>
  </si>
  <si>
    <t>29-30-31-May</t>
  </si>
  <si>
    <t>$25.00 / $60.00</t>
  </si>
  <si>
    <t>FRIDAY/SATURDAY/SUNDAY</t>
  </si>
  <si>
    <t>LE NATIONAL</t>
  </si>
  <si>
    <t>$23.50 / $27.00</t>
  </si>
  <si>
    <t>JESSE MARCHANT / HEATHER WOODS BRODERICK</t>
  </si>
  <si>
    <t>RICKIE LEE JONES / TBA</t>
  </si>
  <si>
    <t>AWOLNATION / FAMILY OF THE YEAR / PARADE OF LIGHTS</t>
  </si>
  <si>
    <t>$21.50 / $24.00</t>
  </si>
  <si>
    <t>05+06-May</t>
  </si>
  <si>
    <t>SON LUX / BIRTHMARK</t>
  </si>
  <si>
    <t>EARL SWEATSHIRT / REMY BANKS</t>
  </si>
  <si>
    <t>PHI CENTRE</t>
  </si>
  <si>
    <t>RALPH ALFONSO</t>
  </si>
  <si>
    <t>DAN WEBSTER</t>
  </si>
  <si>
    <t>$15.00 / $20.00</t>
  </si>
  <si>
    <t>GREENLAND / EVENKO / POP</t>
  </si>
  <si>
    <t>GREENLAND / EVENKO / SJU / NEON</t>
  </si>
  <si>
    <t>NEWSPEAK</t>
  </si>
  <si>
    <t>SJU</t>
  </si>
  <si>
    <t>BLIND GUARDIAN / GRAVE DIGGER</t>
  </si>
  <si>
    <t>$39.50 / $45</t>
  </si>
  <si>
    <t>SWERVEDRIVER / GATEWAY DRUGS</t>
  </si>
  <si>
    <t xml:space="preserve">SHLOHMO / NICK MELONS / J.U.D. </t>
  </si>
  <si>
    <t>DANKO JONES / NO BRO</t>
  </si>
  <si>
    <t xml:space="preserve">PARADIGM </t>
  </si>
  <si>
    <t>KAISER CHIEFS / PALMA VIOLETS / PRIORY / PUBLIC ACCESS T.V.</t>
  </si>
  <si>
    <t>NEW BEATS NOW / GREENLAND / EVENKO</t>
  </si>
  <si>
    <t>$15.00 / $18.00 / $20.00 / $30.00</t>
  </si>
  <si>
    <t>POP MONTREAL / GREENLAND</t>
  </si>
  <si>
    <t>BABES IN TOYLAND / TBA</t>
  </si>
  <si>
    <t>RIALTO</t>
  </si>
  <si>
    <t>OH LAND / PARLOUR TRICKS</t>
  </si>
  <si>
    <t>XAVIER RUDD / MIKE LOVE</t>
  </si>
  <si>
    <t>THE AGENCY GROUP TORONTO</t>
  </si>
  <si>
    <t>WILLIAM MORRIS AGENCY (CA)</t>
  </si>
  <si>
    <t xml:space="preserve">PATRICK WATSON </t>
  </si>
  <si>
    <t>DMA'S / BUD RICE</t>
  </si>
  <si>
    <t>BILLIONS CORPORATION</t>
  </si>
  <si>
    <t>EVENKO / GREENLAND / JAZZ FEST</t>
  </si>
  <si>
    <t>JESSIE WARE / JESSE BOYKINS III</t>
  </si>
  <si>
    <t>ELECTRIC WIZARD / SATAN'S SATYRS / BLOOD CEREMONY</t>
  </si>
  <si>
    <t>THE DEVIL WEARS PRADA  / THE WORD ALIVE</t>
  </si>
  <si>
    <t xml:space="preserve">CITIZEN COPE (SOLO) </t>
  </si>
  <si>
    <t>HOZIER / GEORGE EZRA</t>
  </si>
  <si>
    <t>LONDON GRAMMAR / UTRB</t>
  </si>
  <si>
    <t>$31.00 / $35.00</t>
  </si>
  <si>
    <t>A PLACE TO BURY STRANGERS / GROOMS</t>
  </si>
  <si>
    <t xml:space="preserve">THE AGENCY GROUP </t>
  </si>
  <si>
    <t>GREENLAND / EVENKO  / NEON</t>
  </si>
  <si>
    <t>PASSENGER / GREGORY ALAN ISAKOV</t>
  </si>
  <si>
    <t>RONE /  GROJ / SEYCHELLE</t>
  </si>
  <si>
    <t>EPICA / ELUVEITIE / THE AGONIST</t>
  </si>
  <si>
    <t>$37.00 / $42.00</t>
  </si>
  <si>
    <t>JEAN FRANCOIS MICHAUD</t>
  </si>
  <si>
    <t>HEARTLESS BASTARDS / ALBERTA CROSS</t>
  </si>
  <si>
    <t>MOON VS. SUN FEAT. CHANTAL KREVIAZUK &amp; RAINE MAIDA / JEFFREY PITON</t>
  </si>
  <si>
    <t>THREE DAYS GRACE / HALESTORM</t>
  </si>
  <si>
    <t>$47.50 / $50.00</t>
  </si>
  <si>
    <t>S.L. FELDMAN &amp; ASSOCIATES</t>
  </si>
  <si>
    <t>ROBERT CRAY / MARTIN GOYETTE</t>
  </si>
  <si>
    <t>CLEAN BANDIT / ROMAN GIANARTHUR</t>
  </si>
  <si>
    <t xml:space="preserve">EVENKO / GREENLAND / FOUFOUNES / </t>
  </si>
  <si>
    <t>AARON CARTER / TBA</t>
  </si>
  <si>
    <t>$20.00 / $22.00</t>
  </si>
  <si>
    <t>SUPREME ENTERTAINMENT</t>
  </si>
  <si>
    <t>IAMX / MR KITTY</t>
  </si>
  <si>
    <t>$20.00 / $24.00</t>
  </si>
  <si>
    <t>LITTLE BIG MAN BOOKING</t>
  </si>
  <si>
    <t>ELLE KING / RIA MAE</t>
  </si>
  <si>
    <t>JON SPENCER BLUES EXPLOSION / WE ARE HEX</t>
  </si>
  <si>
    <t>IBEYI /  VICKTOR TAIWO</t>
  </si>
  <si>
    <t>MONTEREY INTERNATIONAL</t>
  </si>
  <si>
    <t>THURSDAY + SATURDAY</t>
  </si>
  <si>
    <t>10+12-Sep</t>
  </si>
  <si>
    <t>ICM ARTISTS LTD</t>
  </si>
  <si>
    <t>DAWN OF MIDI / TBA</t>
  </si>
  <si>
    <t>STREETLIGHT MANIFESTO / DAN POTTHAST / SYCAMORE SMITH</t>
  </si>
  <si>
    <t>DAVE SHAPIRO</t>
  </si>
  <si>
    <t>ARTIST GROUP INTERNATIONAL</t>
  </si>
  <si>
    <t>BETWEEN THE BURIED AND ME / ANIMALS AS LEADERS / THE CONTORTIONIST</t>
  </si>
  <si>
    <t>$32.50 /$35.00</t>
  </si>
  <si>
    <t>NOUVEAU MONDE</t>
  </si>
  <si>
    <t>EVENKO</t>
  </si>
  <si>
    <t>FLUME / NOO-BAP / THOMAS WHITE</t>
  </si>
  <si>
    <t>STICKY FINGERS / CLAY AND FRIENDS</t>
  </si>
  <si>
    <t>THE NEIGHBOURHOOD / BAD SUNS / HUNNY</t>
  </si>
  <si>
    <t>$33.50 / $35.00</t>
  </si>
  <si>
    <t>NOAH GUNDERSEN / FIELD REPORT (SOLO)</t>
  </si>
  <si>
    <t xml:space="preserve">DARCY OAKE </t>
  </si>
  <si>
    <t>FELIX CARTAL / TBA</t>
  </si>
  <si>
    <t>$15.00 / $20.00 / $30.00</t>
  </si>
  <si>
    <t>EVENKO / GREENLAND / NEW BEATS NOW</t>
  </si>
  <si>
    <t>THE DO / TOMBOY</t>
  </si>
  <si>
    <t>LEON BRIDGES / KALI UCHIS</t>
  </si>
  <si>
    <t>GHOST / PURSON</t>
  </si>
  <si>
    <t>ILAN BLUESTONE / KARL K-OTIK / EAGLE I STALLIAN</t>
  </si>
  <si>
    <t>JEREMY LOOPS / MONIKA CEFIS</t>
  </si>
  <si>
    <t>WME</t>
  </si>
  <si>
    <t>NNEKA / JOYCE N'SANA</t>
  </si>
  <si>
    <t>S.A.T.</t>
  </si>
  <si>
    <t>MADISON HOUSE</t>
  </si>
  <si>
    <t>SUICIDE GIRLS - BLACKHEART BURLESQUE / VXMPIRE &amp; MYRAI</t>
  </si>
  <si>
    <t>$35.00 / $37.00</t>
  </si>
  <si>
    <t>THE CASUALTIES / TBA</t>
  </si>
  <si>
    <t>CRAWL SPACE</t>
  </si>
  <si>
    <t>THURSDAY + FRIDAY</t>
  </si>
  <si>
    <t>17-18-Sep</t>
  </si>
  <si>
    <t>THE PLANET SMASHERS / SUBB / BEATDOWN / TBA</t>
  </si>
  <si>
    <t>$15.00 / $20.00 / $23.00</t>
  </si>
  <si>
    <t>STOMP</t>
  </si>
  <si>
    <t>THE AGENCY GROUP  NY</t>
  </si>
  <si>
    <t>7+8-Aug</t>
  </si>
  <si>
    <t>$25.00 / $30.00 / $40.00 / $50.00</t>
  </si>
  <si>
    <t>KENT JAMESON</t>
  </si>
  <si>
    <t>L'ASTRAL</t>
  </si>
  <si>
    <t>$40.00 / $44.00</t>
  </si>
  <si>
    <t>TURBO HAUS</t>
  </si>
  <si>
    <t>AGI</t>
  </si>
  <si>
    <t>GABE SIGLER</t>
  </si>
  <si>
    <t>RUN THE JEWELS / BLISS N ESO / THE NARCYSSIT</t>
  </si>
  <si>
    <t>METZ / USA OUT OF VIETNAM / NIGHT SQUIRT</t>
  </si>
  <si>
    <t>TWRK / GRANDBUDA / NOO-BAP</t>
  </si>
  <si>
    <t>$5.00 / $10.00 / $15.00</t>
  </si>
  <si>
    <t>LAURA MARLING / JOHNNY FLYNN / MARIKA HACKMAN</t>
  </si>
  <si>
    <t>CASPIAN / CIRCLE TAKES THE SQUARE</t>
  </si>
  <si>
    <t>$23.00 / $26.00</t>
  </si>
  <si>
    <t>$52.50 / $55.00</t>
  </si>
  <si>
    <t>TKO AGENCY</t>
  </si>
  <si>
    <t>CITIZENS! / TBA</t>
  </si>
  <si>
    <t>SAY LOU LOU / PHOEBE RYAN</t>
  </si>
  <si>
    <t>PATTY GRIFFIN / PETER HENRY PHILLIPS</t>
  </si>
  <si>
    <t>BLACK LIPS / LETOUTS / SONIC AVENUES</t>
  </si>
  <si>
    <t>FACE TO FACE / AFTER THE FALL / PREVENGE / BOIDS</t>
  </si>
  <si>
    <t>THE OBGMs / THE CASTAGNE'S / TBA</t>
  </si>
  <si>
    <t>RUBISVARIA</t>
  </si>
  <si>
    <t>$24.50 / $27</t>
  </si>
  <si>
    <t>TAG -TO</t>
  </si>
  <si>
    <t>TAG - TO</t>
  </si>
  <si>
    <t>MÉTROPOLIS</t>
  </si>
  <si>
    <t>$49.50 / $55.00</t>
  </si>
  <si>
    <t>MON / TUES / WED</t>
  </si>
  <si>
    <t>15 + 16 +17 - Dec</t>
  </si>
  <si>
    <t>GUERETTE AGENCY (TAG - TO)</t>
  </si>
  <si>
    <t>TUES / WED</t>
  </si>
  <si>
    <t>8 + 9 - Sept</t>
  </si>
  <si>
    <t>BSTB / CJLO / EVENKO + GREENLAND</t>
  </si>
  <si>
    <t>OPAK / EVENKO / GREENLAND</t>
  </si>
  <si>
    <t>EXTENSIVE / GREENLAND / EVENKO</t>
  </si>
  <si>
    <t>CIRCA SURVIVE / RX BANDITS / CITIZEN</t>
  </si>
  <si>
    <t>JP HOE / NARRATIVE CROWS</t>
  </si>
  <si>
    <t>WILCO / WILLIAM TYLER</t>
  </si>
  <si>
    <t>INTERPOL / COSMICIDE</t>
  </si>
  <si>
    <t>DJANGO DJANGO / VESUVIO SOLO</t>
  </si>
  <si>
    <t>$36.00 / $40.00</t>
  </si>
  <si>
    <t>WME ENTERTAINMENT</t>
  </si>
  <si>
    <t>$38.50 / $40.00</t>
  </si>
  <si>
    <t>30 FRAMES / CAMAROMANCE</t>
  </si>
  <si>
    <t>POP MONTREAL (lead) / BSTB / GREENLAND &amp;EVENKO</t>
  </si>
  <si>
    <t>VIET CONG / GREYS</t>
  </si>
  <si>
    <t>FAIRMOUNT</t>
  </si>
  <si>
    <t>$16 / $20</t>
  </si>
  <si>
    <t>POP MONTREAL</t>
  </si>
  <si>
    <t>THE FRONT BOTTOMS / SMITH STREET BAND / ELVIS DEPRESSEDLY</t>
  </si>
  <si>
    <t>HOLLYWOOD UNDEAD / CROWN THE EMPIRE / I PREVAIL</t>
  </si>
  <si>
    <t>WILD CHILD / ELLIOT MOSS</t>
  </si>
  <si>
    <t>$24.50 / $27.00</t>
  </si>
  <si>
    <t>SMALL BLACK / PAINTED PALMS</t>
  </si>
  <si>
    <t>STEVE EARLE AND THE DUKES / THE MASTERSONS</t>
  </si>
  <si>
    <t>THE GLORIOUS SONS / NORTHCOTE / POOR YOUNG THINGS</t>
  </si>
  <si>
    <t>SLASH &amp; THE CONSPIRATORS FEATURING MYLES KENNEDY / THE LAST INTERNATIONALE</t>
  </si>
  <si>
    <t>$29.50 / $32.50</t>
  </si>
  <si>
    <t>Wednesday</t>
  </si>
  <si>
    <t>JF MICHAUD</t>
  </si>
  <si>
    <t>Monday</t>
  </si>
  <si>
    <t xml:space="preserve">TAG TO </t>
  </si>
  <si>
    <t>Sunday</t>
  </si>
  <si>
    <t>ALL TIME LOW / SET IT OFF / NOVA ROCKAFELLER</t>
  </si>
  <si>
    <t>THE GET UP KIDS / INTO IT. OVER IT. / ROZWELL KID</t>
  </si>
  <si>
    <t>THE KING KAHN &amp; BBQ SHOW / MILK LINES</t>
  </si>
  <si>
    <t>ROBERT DELONG / COLEMAN HELL</t>
  </si>
  <si>
    <t>UNCLE ACID &amp; THE DEADBEATS / RUBY THE HATCHET / ECSTATIC VISION</t>
  </si>
  <si>
    <t>AMBIANCES AMBIGUES</t>
  </si>
  <si>
    <t>GREENLAND / EVENKO / POP / NEON</t>
  </si>
  <si>
    <t>WINDISH AGENCY</t>
  </si>
  <si>
    <t>XAVIER RUDD / EMMANUEL JAL</t>
  </si>
  <si>
    <t xml:space="preserve">KAWEHI </t>
  </si>
  <si>
    <t>$40.00 / $45.00</t>
  </si>
  <si>
    <t>CHANCE THE RAPPER / D.R.A.M. / METRO BOMIN / TOWKIO</t>
  </si>
  <si>
    <t>HEY ROSETTA! / YUKON BLONDE</t>
  </si>
  <si>
    <t>MASS HYSTERIA / GUERILLA</t>
  </si>
  <si>
    <t>ALBERT HAMMOND JR. / PRINZE GEORGE</t>
  </si>
  <si>
    <t>TOBIAS JESSO JR. / WET</t>
  </si>
  <si>
    <t>SAN FERMIN / SAM AMIDON</t>
  </si>
  <si>
    <t>BREAKING BENJAMIN / 10 YEARS / STARSET</t>
  </si>
  <si>
    <t>SHAKEY GRAVES / THOSE DARLINS</t>
  </si>
  <si>
    <t>PAQUIN ENTERTAINMENT</t>
  </si>
  <si>
    <t>BELMONT</t>
  </si>
  <si>
    <t xml:space="preserve">ICM ARTISTS INC. </t>
  </si>
  <si>
    <t>$13.00 / $15.00 / $17.00 / $30.00</t>
  </si>
  <si>
    <t>ODESZA / TBA</t>
  </si>
  <si>
    <t>GREENLAND / EVENKO / EXTENSIVE</t>
  </si>
  <si>
    <t>SCOTT BRADLEE POST MODERN JUKE BOX / DJ ROCK FAIR</t>
  </si>
  <si>
    <t xml:space="preserve">MACHINEDRUM </t>
  </si>
  <si>
    <t>DRAKE / FUTURE</t>
  </si>
  <si>
    <t>$39.50 / $59.50 / $79.50 / $119.50 / $149.50</t>
  </si>
  <si>
    <t>ED SHEERAN / FOY VANCE</t>
  </si>
  <si>
    <t>$60.75 / $75.75</t>
  </si>
  <si>
    <t>LANA DEL REY / GRIMES</t>
  </si>
  <si>
    <t>$39.50 / $59.50 / $79.50 / $99.50</t>
  </si>
  <si>
    <t>X AMBASSADORS / GRIZFOLK</t>
  </si>
  <si>
    <t>MARINA AND THE DIAMONDS / CHRISTINE AND THE QUEENS</t>
  </si>
  <si>
    <t>KIM CHURCHILL / TREVOR HALL</t>
  </si>
  <si>
    <t>PRESTE</t>
  </si>
  <si>
    <t>JESS GLYNNE / FRANCESCO YATES</t>
  </si>
  <si>
    <t>LINDI ORTEGA / SAM CASH (SOLO)</t>
  </si>
  <si>
    <t>DANZIG / SUPERJOINT RITUAL / VEIL OF MAYA / PRONG / WITCH MOUNTAIN</t>
  </si>
  <si>
    <t>MOTORHEAD / ANTHRAX / DANCE LAURY DANCE</t>
  </si>
  <si>
    <t>VELVET</t>
  </si>
  <si>
    <t>$15.00 / $18.00 / $20.00</t>
  </si>
  <si>
    <t>TIMBER TIMBRE / AVEC PAS DE CASQUE / EDEN SELA</t>
  </si>
  <si>
    <t>THE PAPER KITES / OLD MAN CANYON</t>
  </si>
  <si>
    <t>BORNS / AVID DANCER</t>
  </si>
  <si>
    <t>ISRAEL NASH / THE PINES</t>
  </si>
  <si>
    <t>SLOW MAGIC / GIRAFFAGE</t>
  </si>
  <si>
    <t>THE WEEKND / TRVIS SCOTT</t>
  </si>
  <si>
    <t>$39.50 / $69.50 / $99.50</t>
  </si>
  <si>
    <t>THE SLACKERS / THE BEATDOWN</t>
  </si>
  <si>
    <t>JEREMY LOOPS / BRICK AND MORTAR</t>
  </si>
  <si>
    <t>JOHN MORELAND / GREG LARAIGNE</t>
  </si>
  <si>
    <t>HALSEY / FLOR</t>
  </si>
  <si>
    <t>GROUD CONTROL TOURING</t>
  </si>
  <si>
    <t>MURDER BY DEATH / LAUREATE</t>
  </si>
  <si>
    <t>NUNS / WIZAARD</t>
  </si>
  <si>
    <t>JAY MALINOWSKI &amp; THE DEADCOAST</t>
  </si>
  <si>
    <r>
      <t>KINSKI / UUBBUURRUU</t>
    </r>
    <r>
      <rPr>
        <sz val="7"/>
        <rFont val="Arial"/>
      </rPr>
      <t xml:space="preserve"> / </t>
    </r>
    <r>
      <rPr>
        <b/>
        <sz val="7"/>
        <rFont val="Arial"/>
        <family val="2"/>
      </rPr>
      <t>MOUNTAIN DUST</t>
    </r>
  </si>
  <si>
    <t>SOAK / TBA</t>
  </si>
  <si>
    <t>DARE TO CARE</t>
  </si>
  <si>
    <t>AMARANTHE / BUTCHER BABIES / LULLWATER</t>
  </si>
  <si>
    <t>$28.00 / $32.00</t>
  </si>
  <si>
    <t>DANIEL ROMANO / STEVEN LAMBKE</t>
  </si>
  <si>
    <t>SKIZZY MARS / KOOL JOHN &amp; P-LO</t>
  </si>
  <si>
    <t xml:space="preserve">CULT OF LUNA / KYLESA / IN AEONA  / C H R I S T </t>
  </si>
  <si>
    <t>GOOD RIDDANCE / OFF WITH THEIR HEADS / IRON CHIC / BARRASSO</t>
  </si>
  <si>
    <t>BOB MOSES / DESERT SOUND COLONY</t>
  </si>
  <si>
    <t>MS MR / JACK GARRATT / VERITE</t>
  </si>
  <si>
    <t>RATATAT / PROJECT PABLO</t>
  </si>
  <si>
    <t>LIANNE LA HAVAS / CHARLOTTE CARDIN / KEENAN O'MEARA</t>
  </si>
  <si>
    <t>THE AVENER / FONKYNSON / LAURA SCAVO</t>
  </si>
  <si>
    <t>THE ORB / MATEO MURPHY / VOSPER</t>
  </si>
  <si>
    <t>ALLIE X / IRIS</t>
  </si>
  <si>
    <t>8. 5 %</t>
  </si>
  <si>
    <t>BSTB / M FOR MONTREAL / EVENKO + GREENLAND</t>
  </si>
  <si>
    <t>GRIMES / NICOLE DOLLAGANGER</t>
  </si>
  <si>
    <t>$26.00 / $30.00</t>
  </si>
  <si>
    <t>Friday</t>
  </si>
  <si>
    <t>GREENLAND / EVENKO/DEEPRAVE</t>
  </si>
  <si>
    <t>PHI CENTRE / GREENLAND / EVENKO</t>
  </si>
  <si>
    <t>THE WAINWRIGHT SISTERS / TBD</t>
  </si>
  <si>
    <t>THE INTERNET / ST BEAUTY / HEARTSTREETS</t>
  </si>
  <si>
    <t>TORA / SYZZORS</t>
  </si>
  <si>
    <t>JON AND ROY / GOOD FOR GRAPES</t>
  </si>
  <si>
    <t>JF MICHAIUD</t>
  </si>
  <si>
    <t>BRIGITTE / ARIANA ZITA</t>
  </si>
  <si>
    <t>THE DEARS / WE ARE MONROE</t>
  </si>
  <si>
    <t>KITTY, DAISY &amp; LEWIS / THE HOLDS</t>
  </si>
  <si>
    <t>LISSIE / CHASE COHI</t>
  </si>
  <si>
    <t>EL VY / SOREN JUUL</t>
  </si>
  <si>
    <t>KERO KERO BONITO / MOZART'S SISTER</t>
  </si>
  <si>
    <t>ALUNAGEORGE / COMPUTER MAGIC / ROLAND TING</t>
  </si>
  <si>
    <t>KAYTRANADA / GRAVEZ / PLANET GIZA</t>
  </si>
  <si>
    <t>YOUTH LAGOON / MOON KING</t>
  </si>
  <si>
    <t>GREENLAND / EVENKO / BLUE SKIES TURN BLACK</t>
  </si>
  <si>
    <t>KING DUDE / DRAB MAJESTY / OLD BOY</t>
  </si>
  <si>
    <t>KANDLE / ARIANE ZITA</t>
  </si>
  <si>
    <t>THE DIODES / DON PILE / TEENAGE HEAD / THE FRISKY KIDS</t>
  </si>
  <si>
    <t>K-OS / SAUL WILLIAMS</t>
  </si>
  <si>
    <t>GOLDROOM / GAVIN TUREK / AVENUE</t>
  </si>
  <si>
    <t>NATE RUESS / SURFER BLOOD / SECRET WEAPONS</t>
  </si>
  <si>
    <t>HUNTER SIEGEL / TBA</t>
  </si>
  <si>
    <t>$5.00 / $10.00</t>
  </si>
  <si>
    <t>TONE DEAF TOURING</t>
  </si>
  <si>
    <t>VANESSA CARLTON / JOSHUA HYSLOP</t>
  </si>
  <si>
    <t>DEAR ROUGE / RAH RAH / CAVEBOY</t>
  </si>
  <si>
    <t>THE DISTRICTS / SUN CLUB</t>
  </si>
  <si>
    <t>VILAIN PINGOUIN / WD-40</t>
  </si>
  <si>
    <t>ALVVAYS / MARDEEN / PARTNER</t>
  </si>
  <si>
    <t>K.I.D. / THE BEACHES / THE FRISKY KIDS</t>
  </si>
  <si>
    <t xml:space="preserve">TYLER WARD / FINAL STATE </t>
  </si>
  <si>
    <t>JJ AND THE PILLARS / THE FRISKY KIDS</t>
  </si>
  <si>
    <t>DRAGONETTE / YOUNG EMPIRES / DIRTY RADIO</t>
  </si>
  <si>
    <t>COLD WAR KIDS / MAUDLIN STRANGERS / KINSEY</t>
  </si>
  <si>
    <t>AUTECHRE / CYNGUS / ROB HALL</t>
  </si>
  <si>
    <t>ODDISEE / GOOD COMPANY</t>
  </si>
  <si>
    <t>ANDRA DAY / KRYSTALE</t>
  </si>
  <si>
    <t>CURRENT SWELL / PHILIP SAYCE</t>
  </si>
  <si>
    <t>JAMES BAY / FRANCES</t>
  </si>
  <si>
    <t>$12.00 / $13.00</t>
  </si>
  <si>
    <t>THE OBGM's / LE TROUBLE / SATE / DEAD MESSENGER / MODERN SPACE</t>
  </si>
  <si>
    <t>RUBIS VARIA</t>
  </si>
  <si>
    <t>youth</t>
  </si>
  <si>
    <t>BALTHAZAR / ECHO BEATTY</t>
  </si>
  <si>
    <t>$20.00 / $23.00 / $26.00</t>
  </si>
  <si>
    <t>MAX / KENZIE NIMMO / CALL ME KARIZMA</t>
  </si>
  <si>
    <t>THE STRUTS / JOHN JACOB MAGISTERY</t>
  </si>
  <si>
    <t>ALEX BLEEKER + THE FREAKS / BUD RICE</t>
  </si>
  <si>
    <t>BLONDE / MATHEUS</t>
  </si>
  <si>
    <t>LANE8 / LOVE THY BROTHER / CABANA</t>
  </si>
  <si>
    <t>I MOTHER EARTH / CHAIR WARRIORS</t>
  </si>
  <si>
    <t>SCARLETT JANE / BOUND &amp; TETHERED</t>
  </si>
  <si>
    <t>BRIGHT LIGHT SOCIAL HOUR / SWIMM</t>
  </si>
  <si>
    <t>MARIANAS TRENCH / ANDEE</t>
  </si>
  <si>
    <t>TESSERACT / THE CONTORTIONIST / ERRA / SKYHARBOR</t>
  </si>
  <si>
    <t>HEAD OF THE HERD / POLISTA</t>
  </si>
  <si>
    <t>G HERBO / TBA</t>
  </si>
  <si>
    <t>WHITEHORSE / FIONA BEVAN</t>
  </si>
  <si>
    <t>GREENLAND / EVENKO / RICKEY D</t>
  </si>
  <si>
    <t>IAN FLETCHER THORNLEY / THE PICK BROTHERS BAND</t>
  </si>
  <si>
    <t>GANG SIGNS / BRONSWICK</t>
  </si>
  <si>
    <t>ACT OF DEFIANCE / ALLEGAEON / ABOUT: BLANK</t>
  </si>
  <si>
    <t xml:space="preserve">DEATH GRIPS </t>
  </si>
  <si>
    <t xml:space="preserve">PRIMUS </t>
  </si>
  <si>
    <t xml:space="preserve">MATT LANGE </t>
  </si>
  <si>
    <t>MODEST MOUSE / OPERATORS</t>
  </si>
  <si>
    <t xml:space="preserve">THE TEA PARTY </t>
  </si>
  <si>
    <t>BLACK PISTOL FIRE / NO ALOHA</t>
  </si>
  <si>
    <t>JOSEPH ARTHUR / KENSICO</t>
  </si>
  <si>
    <t xml:space="preserve">GODSMACK </t>
  </si>
  <si>
    <t>YO LA TENGO / DAVE SCHRAMM</t>
  </si>
  <si>
    <t>SUPER8 &amp; TAB</t>
  </si>
  <si>
    <t>ELVIS PERKINS / KINSEY</t>
  </si>
  <si>
    <t>BAHAMAS / THE WEATHER STATION</t>
  </si>
  <si>
    <t>MATTHEW GOOD / SCOTT HELMAN</t>
  </si>
  <si>
    <t>BUCKCHERRY / YOUR FAVOURITE ENEMIES</t>
  </si>
  <si>
    <t>NATHANIEL RATELIFF / CAROLINE ROSE</t>
  </si>
  <si>
    <t>VINCE STAPLES / POSTERZ</t>
  </si>
  <si>
    <t>PATRICK WATSON / SOCALLED / PETER MIKA / SARAH PAGE</t>
  </si>
  <si>
    <t>ATREYU / BEARTOOTH / WOVENWAR</t>
  </si>
  <si>
    <t>total</t>
  </si>
  <si>
    <r>
      <t xml:space="preserve">CIARA / TBA </t>
    </r>
    <r>
      <rPr>
        <b/>
        <sz val="7"/>
        <color rgb="FFFF0000"/>
        <rFont val="Arial"/>
      </rPr>
      <t>(Moved to April 13 2016)</t>
    </r>
  </si>
  <si>
    <r>
      <t xml:space="preserve">VENOM INC. / TBA </t>
    </r>
    <r>
      <rPr>
        <b/>
        <sz val="7"/>
        <color rgb="FFFF0000"/>
        <rFont val="Arial"/>
      </rPr>
      <t>(cancelled)</t>
    </r>
  </si>
  <si>
    <t>MK / STONEHOUSE / PONSOLO &amp; LEDISKO - ILESONIQ (HELPED WITH PROMO - NO LOSS)</t>
  </si>
  <si>
    <t>GORGUTS / TERAMOBIL / HYBREED CHAOS - HEAVY MONTREAL (HELPED WITH PROMO - NO LOSS)</t>
  </si>
  <si>
    <t>FAT WRECK 25th  - HEAVY MONTREAL (HELPED WITH PROMO - NO LOSS)</t>
  </si>
  <si>
    <t>(BOUGHT BY SJU)</t>
  </si>
  <si>
    <t xml:space="preserve">EVELYNE COTE </t>
  </si>
  <si>
    <t>Actual NET Box Office</t>
  </si>
  <si>
    <t>NEON bought</t>
  </si>
  <si>
    <r>
      <t xml:space="preserve">SPANDAU BALLET / TBA - </t>
    </r>
    <r>
      <rPr>
        <b/>
        <sz val="7"/>
        <color rgb="FFFF0000"/>
        <rFont val="Arial"/>
      </rPr>
      <t>GREENLAND OPTED OUT</t>
    </r>
  </si>
  <si>
    <t>EVELYNE COTE - BOUGHT BY SJU</t>
  </si>
  <si>
    <t>SALAD DAYS MOVIE PREMIERE - PROMO ONLY (NO 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</si>
</sst>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 ;[Red]\-0.00\ "/>
    <numFmt numFmtId="165" formatCode="_(* #,##0.00_);_(* \(#,##0.00\);_(* \-??_);_(@_)"/>
    <numFmt numFmtId="166" formatCode="\$#,##0.00"/>
    <numFmt numFmtId="167" formatCode="_(\$* #,##0.00_);_(\$* \(#,##0.00\);_(\$* \-??_);_(@_)"/>
    <numFmt numFmtId="168" formatCode="dddd"/>
    <numFmt numFmtId="169" formatCode="0.0%"/>
  </numFmts>
  <fonts count="14" x14ac:knownFonts="1">
    <font>
      <sz val="10"/>
      <name val="Arial"/>
    </font>
    <font>
      <sz val="10"/>
      <name val="Arial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7"/>
      <color rgb="FF000000"/>
      <name val="Arial"/>
    </font>
    <font>
      <sz val="9"/>
      <color indexed="81"/>
      <name val="Arial"/>
    </font>
    <font>
      <b/>
      <sz val="9"/>
      <color indexed="81"/>
      <name val="Arial"/>
    </font>
    <font>
      <sz val="7"/>
      <name val="Arial"/>
    </font>
    <font>
      <b/>
      <sz val="7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6">
    <xf numFmtId="0" fontId="0" fillId="0" borderId="0"/>
    <xf numFmtId="165" fontId="1" fillId="0" borderId="0" applyFont="0" applyFill="0" applyAlignment="0" applyProtection="0"/>
    <xf numFmtId="167" fontId="1" fillId="0" borderId="0" applyFont="0" applyFill="0" applyAlignment="0" applyProtection="0"/>
    <xf numFmtId="9" fontId="1" fillId="0" borderId="0" applyFon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9" fontId="3" fillId="0" borderId="1" xfId="3" applyFont="1" applyFill="1" applyBorder="1" applyAlignment="1" applyProtection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/>
    </xf>
    <xf numFmtId="166" fontId="2" fillId="0" borderId="1" xfId="1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 applyProtection="1">
      <alignment horizontal="center"/>
    </xf>
    <xf numFmtId="164" fontId="2" fillId="0" borderId="1" xfId="0" applyNumberFormat="1" applyFont="1" applyBorder="1"/>
    <xf numFmtId="0" fontId="1" fillId="0" borderId="0" xfId="0" applyFont="1" applyBorder="1"/>
    <xf numFmtId="0" fontId="2" fillId="0" borderId="1" xfId="1" applyNumberFormat="1" applyFont="1" applyFill="1" applyBorder="1" applyAlignment="1" applyProtection="1">
      <alignment horizontal="right"/>
    </xf>
    <xf numFmtId="164" fontId="2" fillId="0" borderId="1" xfId="2" applyNumberFormat="1" applyFont="1" applyFill="1" applyBorder="1" applyAlignment="1" applyProtection="1"/>
    <xf numFmtId="164" fontId="3" fillId="0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2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center"/>
    </xf>
    <xf numFmtId="164" fontId="2" fillId="0" borderId="1" xfId="0" applyNumberFormat="1" applyFont="1" applyFill="1" applyBorder="1"/>
    <xf numFmtId="166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0" fontId="9" fillId="0" borderId="2" xfId="0" applyFont="1" applyBorder="1"/>
    <xf numFmtId="164" fontId="3" fillId="0" borderId="1" xfId="0" applyNumberFormat="1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center" vertical="center" wrapText="1"/>
    </xf>
    <xf numFmtId="9" fontId="3" fillId="0" borderId="1" xfId="3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5" borderId="1" xfId="0" applyNumberFormat="1" applyFont="1" applyFill="1" applyBorder="1" applyAlignment="1">
      <alignment horizontal="center"/>
    </xf>
    <xf numFmtId="9" fontId="3" fillId="5" borderId="1" xfId="3" applyFont="1" applyFill="1" applyBorder="1" applyAlignment="1" applyProtection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/>
    <xf numFmtId="166" fontId="2" fillId="5" borderId="1" xfId="0" applyNumberFormat="1" applyFont="1" applyFill="1" applyBorder="1" applyAlignment="1">
      <alignment horizontal="center"/>
    </xf>
    <xf numFmtId="0" fontId="2" fillId="5" borderId="1" xfId="1" applyNumberFormat="1" applyFont="1" applyFill="1" applyBorder="1" applyAlignment="1" applyProtection="1">
      <alignment horizontal="right"/>
    </xf>
    <xf numFmtId="164" fontId="2" fillId="5" borderId="1" xfId="2" applyNumberFormat="1" applyFont="1" applyFill="1" applyBorder="1" applyAlignment="1" applyProtection="1"/>
    <xf numFmtId="0" fontId="1" fillId="5" borderId="0" xfId="0" applyFont="1" applyFill="1" applyBorder="1"/>
    <xf numFmtId="14" fontId="2" fillId="0" borderId="1" xfId="0" applyNumberFormat="1" applyFont="1" applyFill="1" applyBorder="1" applyAlignment="1">
      <alignment horizontal="center"/>
    </xf>
    <xf numFmtId="169" fontId="3" fillId="0" borderId="1" xfId="3" applyNumberFormat="1" applyFont="1" applyFill="1" applyBorder="1" applyAlignment="1" applyProtection="1">
      <alignment horizontal="center"/>
    </xf>
    <xf numFmtId="10" fontId="3" fillId="0" borderId="1" xfId="3" applyNumberFormat="1" applyFont="1" applyFill="1" applyBorder="1" applyAlignment="1" applyProtection="1">
      <alignment horizontal="center"/>
    </xf>
    <xf numFmtId="14" fontId="2" fillId="5" borderId="1" xfId="0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 applyProtection="1">
      <alignment horizontal="right"/>
    </xf>
    <xf numFmtId="168" fontId="2" fillId="5" borderId="1" xfId="0" applyNumberFormat="1" applyFont="1" applyFill="1" applyBorder="1" applyAlignment="1">
      <alignment horizontal="center"/>
    </xf>
    <xf numFmtId="9" fontId="2" fillId="0" borderId="0" xfId="3" applyFont="1" applyFill="1" applyAlignment="1" applyProtection="1"/>
    <xf numFmtId="9" fontId="2" fillId="5" borderId="0" xfId="3" applyFont="1" applyFill="1" applyAlignment="1" applyProtection="1"/>
    <xf numFmtId="10" fontId="2" fillId="0" borderId="0" xfId="3" applyNumberFormat="1" applyFont="1" applyFill="1" applyAlignment="1" applyProtection="1"/>
  </cellXfs>
  <cellStyles count="96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2468880</xdr:colOff>
      <xdr:row>68</xdr:row>
      <xdr:rowOff>20320</xdr:rowOff>
    </xdr:from>
    <xdr:to>
      <xdr:col>3</xdr:col>
      <xdr:colOff>1036320</xdr:colOff>
      <xdr:row>68</xdr:row>
      <xdr:rowOff>223520</xdr:rowOff>
    </xdr:to>
    <xdr:sp macro="" textlink="">
      <xdr:nvSpPr>
        <xdr:cNvPr id="2" name="Text Box 747"/>
        <xdr:cNvSpPr txBox="1">
          <a:spLocks noChangeArrowheads="1"/>
        </xdr:cNvSpPr>
      </xdr:nvSpPr>
      <xdr:spPr bwMode="auto">
        <a:xfrm>
          <a:off x="3373120" y="1737360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2</xdr:col>
      <xdr:colOff>2092960</xdr:colOff>
      <xdr:row>41</xdr:row>
      <xdr:rowOff>40640</xdr:rowOff>
    </xdr:from>
    <xdr:to>
      <xdr:col>3</xdr:col>
      <xdr:colOff>660400</xdr:colOff>
      <xdr:row>42</xdr:row>
      <xdr:rowOff>0</xdr:rowOff>
    </xdr:to>
    <xdr:sp macro="" textlink="">
      <xdr:nvSpPr>
        <xdr:cNvPr id="3" name="Text Box 747"/>
        <xdr:cNvSpPr txBox="1">
          <a:spLocks noChangeArrowheads="1"/>
        </xdr:cNvSpPr>
      </xdr:nvSpPr>
      <xdr:spPr bwMode="auto">
        <a:xfrm>
          <a:off x="2997200" y="9255760"/>
          <a:ext cx="1117600" cy="21336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2</xdr:col>
      <xdr:colOff>2092960</xdr:colOff>
      <xdr:row>45</xdr:row>
      <xdr:rowOff>30480</xdr:rowOff>
    </xdr:from>
    <xdr:to>
      <xdr:col>3</xdr:col>
      <xdr:colOff>660400</xdr:colOff>
      <xdr:row>45</xdr:row>
      <xdr:rowOff>243840</xdr:rowOff>
    </xdr:to>
    <xdr:sp macro="" textlink="">
      <xdr:nvSpPr>
        <xdr:cNvPr id="4" name="Text Box 747"/>
        <xdr:cNvSpPr txBox="1">
          <a:spLocks noChangeArrowheads="1"/>
        </xdr:cNvSpPr>
      </xdr:nvSpPr>
      <xdr:spPr bwMode="auto">
        <a:xfrm>
          <a:off x="2997200" y="10261600"/>
          <a:ext cx="1117600" cy="21336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3</xdr:col>
      <xdr:colOff>111760</xdr:colOff>
      <xdr:row>104</xdr:row>
      <xdr:rowOff>30480</xdr:rowOff>
    </xdr:from>
    <xdr:to>
      <xdr:col>3</xdr:col>
      <xdr:colOff>1229360</xdr:colOff>
      <xdr:row>104</xdr:row>
      <xdr:rowOff>233680</xdr:rowOff>
    </xdr:to>
    <xdr:sp macro="" textlink="">
      <xdr:nvSpPr>
        <xdr:cNvPr id="5" name="Text Box 747"/>
        <xdr:cNvSpPr txBox="1">
          <a:spLocks noChangeArrowheads="1"/>
        </xdr:cNvSpPr>
      </xdr:nvSpPr>
      <xdr:spPr bwMode="auto">
        <a:xfrm>
          <a:off x="3566160" y="2566416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5</xdr:col>
      <xdr:colOff>1949548</xdr:colOff>
      <xdr:row>144</xdr:row>
      <xdr:rowOff>19930</xdr:rowOff>
    </xdr:from>
    <xdr:to>
      <xdr:col>5</xdr:col>
      <xdr:colOff>3074572</xdr:colOff>
      <xdr:row>144</xdr:row>
      <xdr:rowOff>223130</xdr:rowOff>
    </xdr:to>
    <xdr:sp macro="" textlink="">
      <xdr:nvSpPr>
        <xdr:cNvPr id="6" name="Text Box 747"/>
        <xdr:cNvSpPr txBox="1">
          <a:spLocks noChangeArrowheads="1"/>
        </xdr:cNvSpPr>
      </xdr:nvSpPr>
      <xdr:spPr bwMode="auto">
        <a:xfrm>
          <a:off x="7625471" y="36674084"/>
          <a:ext cx="1125024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3</xdr:col>
      <xdr:colOff>213360</xdr:colOff>
      <xdr:row>140</xdr:row>
      <xdr:rowOff>10160</xdr:rowOff>
    </xdr:from>
    <xdr:to>
      <xdr:col>4</xdr:col>
      <xdr:colOff>304800</xdr:colOff>
      <xdr:row>141</xdr:row>
      <xdr:rowOff>0</xdr:rowOff>
    </xdr:to>
    <xdr:sp macro="" textlink="">
      <xdr:nvSpPr>
        <xdr:cNvPr id="7" name="Text Box 747"/>
        <xdr:cNvSpPr txBox="1">
          <a:spLocks noChangeArrowheads="1"/>
        </xdr:cNvSpPr>
      </xdr:nvSpPr>
      <xdr:spPr bwMode="auto">
        <a:xfrm>
          <a:off x="3667760" y="34787840"/>
          <a:ext cx="1422400" cy="24384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MERGED W/ 15-87</a:t>
          </a:r>
        </a:p>
        <a:p>
          <a:pPr algn="ctr" rtl="0">
            <a:defRPr sz="1000"/>
          </a:pPr>
          <a:endParaRPr lang="en-CA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640080</xdr:colOff>
      <xdr:row>183</xdr:row>
      <xdr:rowOff>10160</xdr:rowOff>
    </xdr:from>
    <xdr:to>
      <xdr:col>4</xdr:col>
      <xdr:colOff>426720</xdr:colOff>
      <xdr:row>183</xdr:row>
      <xdr:rowOff>213360</xdr:rowOff>
    </xdr:to>
    <xdr:sp macro="" textlink="">
      <xdr:nvSpPr>
        <xdr:cNvPr id="8" name="Text Box 747"/>
        <xdr:cNvSpPr txBox="1">
          <a:spLocks noChangeArrowheads="1"/>
        </xdr:cNvSpPr>
      </xdr:nvSpPr>
      <xdr:spPr bwMode="auto">
        <a:xfrm>
          <a:off x="4094480" y="4581144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3</xdr:col>
      <xdr:colOff>894080</xdr:colOff>
      <xdr:row>212</xdr:row>
      <xdr:rowOff>20320</xdr:rowOff>
    </xdr:from>
    <xdr:to>
      <xdr:col>4</xdr:col>
      <xdr:colOff>680720</xdr:colOff>
      <xdr:row>212</xdr:row>
      <xdr:rowOff>223520</xdr:rowOff>
    </xdr:to>
    <xdr:sp macro="" textlink="">
      <xdr:nvSpPr>
        <xdr:cNvPr id="9" name="Text Box 747"/>
        <xdr:cNvSpPr txBox="1">
          <a:spLocks noChangeArrowheads="1"/>
        </xdr:cNvSpPr>
      </xdr:nvSpPr>
      <xdr:spPr bwMode="auto">
        <a:xfrm>
          <a:off x="4348480" y="5394960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3</xdr:col>
      <xdr:colOff>802640</xdr:colOff>
      <xdr:row>295</xdr:row>
      <xdr:rowOff>30480</xdr:rowOff>
    </xdr:from>
    <xdr:to>
      <xdr:col>4</xdr:col>
      <xdr:colOff>589280</xdr:colOff>
      <xdr:row>295</xdr:row>
      <xdr:rowOff>233680</xdr:rowOff>
    </xdr:to>
    <xdr:sp macro="" textlink="">
      <xdr:nvSpPr>
        <xdr:cNvPr id="10" name="Text Box 747"/>
        <xdr:cNvSpPr txBox="1">
          <a:spLocks noChangeArrowheads="1"/>
        </xdr:cNvSpPr>
      </xdr:nvSpPr>
      <xdr:spPr bwMode="auto">
        <a:xfrm>
          <a:off x="4257040" y="7504176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3</xdr:col>
      <xdr:colOff>843280</xdr:colOff>
      <xdr:row>314</xdr:row>
      <xdr:rowOff>30480</xdr:rowOff>
    </xdr:from>
    <xdr:to>
      <xdr:col>4</xdr:col>
      <xdr:colOff>629920</xdr:colOff>
      <xdr:row>314</xdr:row>
      <xdr:rowOff>233680</xdr:rowOff>
    </xdr:to>
    <xdr:sp macro="" textlink="">
      <xdr:nvSpPr>
        <xdr:cNvPr id="11" name="Text Box 747"/>
        <xdr:cNvSpPr txBox="1">
          <a:spLocks noChangeArrowheads="1"/>
        </xdr:cNvSpPr>
      </xdr:nvSpPr>
      <xdr:spPr bwMode="auto">
        <a:xfrm>
          <a:off x="4297680" y="7986776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MOVED TO 2016</a:t>
          </a:r>
        </a:p>
        <a:p>
          <a:pPr algn="ctr" rtl="0">
            <a:defRPr sz="1000"/>
          </a:pPr>
          <a:endParaRPr lang="en-CA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1066800</xdr:colOff>
      <xdr:row>223</xdr:row>
      <xdr:rowOff>0</xdr:rowOff>
    </xdr:from>
    <xdr:to>
      <xdr:col>4</xdr:col>
      <xdr:colOff>853440</xdr:colOff>
      <xdr:row>223</xdr:row>
      <xdr:rowOff>203200</xdr:rowOff>
    </xdr:to>
    <xdr:sp macro="" textlink="">
      <xdr:nvSpPr>
        <xdr:cNvPr id="12" name="Text Box 747"/>
        <xdr:cNvSpPr txBox="1">
          <a:spLocks noChangeArrowheads="1"/>
        </xdr:cNvSpPr>
      </xdr:nvSpPr>
      <xdr:spPr bwMode="auto">
        <a:xfrm>
          <a:off x="4521200" y="5672328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3</xdr:col>
      <xdr:colOff>1066800</xdr:colOff>
      <xdr:row>218</xdr:row>
      <xdr:rowOff>30480</xdr:rowOff>
    </xdr:from>
    <xdr:to>
      <xdr:col>4</xdr:col>
      <xdr:colOff>853440</xdr:colOff>
      <xdr:row>218</xdr:row>
      <xdr:rowOff>233680</xdr:rowOff>
    </xdr:to>
    <xdr:sp macro="" textlink="">
      <xdr:nvSpPr>
        <xdr:cNvPr id="13" name="Text Box 747"/>
        <xdr:cNvSpPr txBox="1">
          <a:spLocks noChangeArrowheads="1"/>
        </xdr:cNvSpPr>
      </xdr:nvSpPr>
      <xdr:spPr bwMode="auto">
        <a:xfrm>
          <a:off x="4521200" y="5548376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3</xdr:col>
      <xdr:colOff>1056640</xdr:colOff>
      <xdr:row>327</xdr:row>
      <xdr:rowOff>40640</xdr:rowOff>
    </xdr:from>
    <xdr:to>
      <xdr:col>4</xdr:col>
      <xdr:colOff>843280</xdr:colOff>
      <xdr:row>327</xdr:row>
      <xdr:rowOff>243840</xdr:rowOff>
    </xdr:to>
    <xdr:sp macro="" textlink="">
      <xdr:nvSpPr>
        <xdr:cNvPr id="14" name="Text Box 747"/>
        <xdr:cNvSpPr txBox="1">
          <a:spLocks noChangeArrowheads="1"/>
        </xdr:cNvSpPr>
      </xdr:nvSpPr>
      <xdr:spPr bwMode="auto">
        <a:xfrm>
          <a:off x="4511040" y="8317992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3</xdr:col>
      <xdr:colOff>782320</xdr:colOff>
      <xdr:row>201</xdr:row>
      <xdr:rowOff>30480</xdr:rowOff>
    </xdr:from>
    <xdr:to>
      <xdr:col>4</xdr:col>
      <xdr:colOff>568960</xdr:colOff>
      <xdr:row>201</xdr:row>
      <xdr:rowOff>233680</xdr:rowOff>
    </xdr:to>
    <xdr:sp macro="" textlink="">
      <xdr:nvSpPr>
        <xdr:cNvPr id="15" name="Text Box 747"/>
        <xdr:cNvSpPr txBox="1">
          <a:spLocks noChangeArrowheads="1"/>
        </xdr:cNvSpPr>
      </xdr:nvSpPr>
      <xdr:spPr bwMode="auto">
        <a:xfrm>
          <a:off x="4236720" y="5116576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3</xdr:col>
      <xdr:colOff>1005840</xdr:colOff>
      <xdr:row>300</xdr:row>
      <xdr:rowOff>182880</xdr:rowOff>
    </xdr:from>
    <xdr:to>
      <xdr:col>4</xdr:col>
      <xdr:colOff>792480</xdr:colOff>
      <xdr:row>301</xdr:row>
      <xdr:rowOff>132080</xdr:rowOff>
    </xdr:to>
    <xdr:sp macro="" textlink="">
      <xdr:nvSpPr>
        <xdr:cNvPr id="16" name="Text Box 747"/>
        <xdr:cNvSpPr txBox="1">
          <a:spLocks noChangeArrowheads="1"/>
        </xdr:cNvSpPr>
      </xdr:nvSpPr>
      <xdr:spPr bwMode="auto">
        <a:xfrm>
          <a:off x="4460240" y="7646416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MOVED TO 2016</a:t>
          </a:r>
        </a:p>
        <a:p>
          <a:pPr algn="ctr" rtl="0">
            <a:defRPr sz="1000"/>
          </a:pPr>
          <a:endParaRPr lang="en-CA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2042160</xdr:colOff>
      <xdr:row>44</xdr:row>
      <xdr:rowOff>81280</xdr:rowOff>
    </xdr:from>
    <xdr:to>
      <xdr:col>3</xdr:col>
      <xdr:colOff>609600</xdr:colOff>
      <xdr:row>45</xdr:row>
      <xdr:rowOff>30480</xdr:rowOff>
    </xdr:to>
    <xdr:sp macro="" textlink="">
      <xdr:nvSpPr>
        <xdr:cNvPr id="17" name="Text Box 747"/>
        <xdr:cNvSpPr txBox="1">
          <a:spLocks noChangeArrowheads="1"/>
        </xdr:cNvSpPr>
      </xdr:nvSpPr>
      <xdr:spPr bwMode="auto">
        <a:xfrm>
          <a:off x="2946400" y="1117600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2</xdr:col>
      <xdr:colOff>1910080</xdr:colOff>
      <xdr:row>51</xdr:row>
      <xdr:rowOff>60960</xdr:rowOff>
    </xdr:from>
    <xdr:to>
      <xdr:col>3</xdr:col>
      <xdr:colOff>477520</xdr:colOff>
      <xdr:row>52</xdr:row>
      <xdr:rowOff>10160</xdr:rowOff>
    </xdr:to>
    <xdr:sp macro="" textlink="">
      <xdr:nvSpPr>
        <xdr:cNvPr id="18" name="Text Box 747"/>
        <xdr:cNvSpPr txBox="1">
          <a:spLocks noChangeArrowheads="1"/>
        </xdr:cNvSpPr>
      </xdr:nvSpPr>
      <xdr:spPr bwMode="auto">
        <a:xfrm>
          <a:off x="2814320" y="1293368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3</xdr:col>
      <xdr:colOff>619760</xdr:colOff>
      <xdr:row>139</xdr:row>
      <xdr:rowOff>20320</xdr:rowOff>
    </xdr:from>
    <xdr:to>
      <xdr:col>4</xdr:col>
      <xdr:colOff>406400</xdr:colOff>
      <xdr:row>139</xdr:row>
      <xdr:rowOff>223520</xdr:rowOff>
    </xdr:to>
    <xdr:sp macro="" textlink="">
      <xdr:nvSpPr>
        <xdr:cNvPr id="19" name="Text Box 747"/>
        <xdr:cNvSpPr txBox="1">
          <a:spLocks noChangeArrowheads="1"/>
        </xdr:cNvSpPr>
      </xdr:nvSpPr>
      <xdr:spPr bwMode="auto">
        <a:xfrm>
          <a:off x="4074160" y="35407600"/>
          <a:ext cx="1117600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  <xdr:twoCellAnchor>
    <xdr:from>
      <xdr:col>3</xdr:col>
      <xdr:colOff>1095326</xdr:colOff>
      <xdr:row>191</xdr:row>
      <xdr:rowOff>42593</xdr:rowOff>
    </xdr:from>
    <xdr:to>
      <xdr:col>5</xdr:col>
      <xdr:colOff>2735</xdr:colOff>
      <xdr:row>191</xdr:row>
      <xdr:rowOff>245793</xdr:rowOff>
    </xdr:to>
    <xdr:sp macro="" textlink="">
      <xdr:nvSpPr>
        <xdr:cNvPr id="21" name="Text Box 747"/>
        <xdr:cNvSpPr txBox="1">
          <a:spLocks noChangeArrowheads="1"/>
        </xdr:cNvSpPr>
      </xdr:nvSpPr>
      <xdr:spPr bwMode="auto">
        <a:xfrm>
          <a:off x="4553634" y="48634747"/>
          <a:ext cx="1125024" cy="203200"/>
        </a:xfrm>
        <a:prstGeom prst="rect">
          <a:avLst/>
        </a:prstGeom>
        <a:solidFill>
          <a:srgbClr val="FFFF99">
            <a:alpha val="65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1048246"/>
  <sheetViews>
    <sheetView tabSelected="1" topLeftCell="F1" zoomScale="130" zoomScaleNormal="130" zoomScalePageLayoutView="130" workbookViewId="0">
      <pane ySplit="3" topLeftCell="A325" activePane="bottomLeft" state="frozen"/>
      <selection activeCell="G1" sqref="G1"/>
      <selection pane="bottomLeft" activeCell="Q329" sqref="Q329"/>
    </sheetView>
  </sheetViews>
  <sheetFormatPr baseColWidth="10" defaultColWidth="8.83203125" defaultRowHeight="12" x14ac:dyDescent="0.75"/>
  <cols>
    <col min="1" max="1" width="5.83203125" style="27" customWidth="1"/>
    <col min="2" max="2" width="6" style="1" customWidth="1"/>
    <col min="3" max="3" width="33.5" style="2" customWidth="1"/>
    <col min="4" max="4" width="17.5" style="3" customWidth="1"/>
    <col min="5" max="5" width="11.5" style="4" customWidth="1"/>
    <col min="6" max="6" width="53.6640625" style="11" customWidth="1"/>
    <col min="7" max="7" width="24.1640625" style="3" customWidth="1"/>
    <col min="8" max="8" width="7.83203125" style="25" customWidth="1"/>
    <col min="9" max="9" width="23.6640625" style="26" customWidth="1"/>
    <col min="10" max="10" width="9.5" style="23" customWidth="1"/>
    <col min="11" max="11" width="10.1640625" style="9" customWidth="1"/>
    <col min="12" max="12" width="13.6640625" style="14" customWidth="1"/>
    <col min="13" max="14" width="12.33203125" style="14" customWidth="1"/>
    <col min="15" max="15" width="13.5" style="14" customWidth="1"/>
    <col min="16" max="16" width="10" style="14" customWidth="1"/>
    <col min="17" max="17" width="8.83203125" style="11"/>
    <col min="18" max="18" width="26.6640625" style="21" customWidth="1"/>
    <col min="19" max="19" width="26.5" style="3" customWidth="1"/>
    <col min="20" max="252" width="8.83203125" style="11"/>
    <col min="253" max="16384" width="8.83203125" style="12"/>
  </cols>
  <sheetData>
    <row r="1" spans="1:253" ht="21.5" customHeight="1">
      <c r="D1" s="3" t="s">
        <v>0</v>
      </c>
      <c r="F1" s="5" t="s">
        <v>1</v>
      </c>
      <c r="G1" s="6"/>
      <c r="H1" s="7"/>
      <c r="I1" s="8"/>
      <c r="J1" s="7" t="s">
        <v>2</v>
      </c>
      <c r="L1" s="10" t="s">
        <v>2</v>
      </c>
      <c r="M1" s="10" t="s">
        <v>2</v>
      </c>
      <c r="N1" s="10" t="s">
        <v>2</v>
      </c>
      <c r="O1" s="10" t="s">
        <v>2</v>
      </c>
      <c r="P1" s="10"/>
      <c r="Q1" s="3" t="s">
        <v>3</v>
      </c>
      <c r="R1" s="6"/>
    </row>
    <row r="2" spans="1:253" ht="21.5" customHeight="1">
      <c r="D2" s="3" t="s">
        <v>69</v>
      </c>
      <c r="G2" s="6"/>
      <c r="H2" s="7"/>
      <c r="I2" s="8"/>
      <c r="J2" s="13"/>
      <c r="R2" s="6"/>
    </row>
    <row r="3" spans="1:253">
      <c r="A3" s="28"/>
      <c r="B3" s="1" t="s">
        <v>4</v>
      </c>
      <c r="C3" s="15" t="s">
        <v>5</v>
      </c>
      <c r="D3" s="6" t="s">
        <v>6</v>
      </c>
      <c r="E3" s="16" t="s">
        <v>7</v>
      </c>
      <c r="F3" s="15" t="s">
        <v>8</v>
      </c>
      <c r="G3" s="6" t="s">
        <v>612</v>
      </c>
      <c r="H3" s="7" t="s">
        <v>9</v>
      </c>
      <c r="I3" s="8" t="s">
        <v>10</v>
      </c>
      <c r="J3" s="17" t="s">
        <v>11</v>
      </c>
      <c r="K3" s="18" t="s">
        <v>12</v>
      </c>
      <c r="L3" s="19" t="s">
        <v>658</v>
      </c>
      <c r="M3" s="19" t="s">
        <v>13</v>
      </c>
      <c r="N3" s="19" t="s">
        <v>14</v>
      </c>
      <c r="O3" s="19" t="s">
        <v>15</v>
      </c>
      <c r="P3" s="19" t="s">
        <v>16</v>
      </c>
      <c r="Q3" s="3" t="s">
        <v>17</v>
      </c>
      <c r="R3" s="6" t="s">
        <v>18</v>
      </c>
      <c r="S3" s="3" t="s">
        <v>19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20"/>
    </row>
    <row r="4" spans="1:253" s="24" customFormat="1" ht="20" customHeight="1">
      <c r="A4" s="29" t="s">
        <v>59</v>
      </c>
      <c r="B4" s="1">
        <v>0.1</v>
      </c>
      <c r="C4" s="15" t="s">
        <v>60</v>
      </c>
      <c r="D4" s="6" t="s">
        <v>23</v>
      </c>
      <c r="E4" s="16">
        <v>42023</v>
      </c>
      <c r="F4" s="21" t="s">
        <v>278</v>
      </c>
      <c r="G4" s="6" t="s">
        <v>61</v>
      </c>
      <c r="H4" s="9"/>
      <c r="I4" s="22" t="s">
        <v>62</v>
      </c>
      <c r="J4" s="13"/>
      <c r="K4" s="9">
        <v>11442</v>
      </c>
      <c r="L4" s="14">
        <v>660951.39</v>
      </c>
      <c r="M4" s="14">
        <f>L4</f>
        <v>660951.39</v>
      </c>
      <c r="N4" s="14">
        <v>616754.18000000005</v>
      </c>
      <c r="O4" s="14">
        <f>M4-N4</f>
        <v>44197.209999999963</v>
      </c>
      <c r="P4" s="14">
        <v>10</v>
      </c>
      <c r="Q4" s="21">
        <v>4419.72</v>
      </c>
      <c r="R4" s="6"/>
      <c r="S4" s="6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</row>
    <row r="5" spans="1:253" s="24" customFormat="1" ht="20" customHeight="1">
      <c r="A5" s="29" t="s">
        <v>59</v>
      </c>
      <c r="B5" s="1">
        <v>0.1</v>
      </c>
      <c r="C5" s="15" t="s">
        <v>20</v>
      </c>
      <c r="D5" s="6" t="s">
        <v>75</v>
      </c>
      <c r="E5" s="16">
        <v>42053</v>
      </c>
      <c r="F5" s="21" t="s">
        <v>174</v>
      </c>
      <c r="G5" s="6" t="s">
        <v>61</v>
      </c>
      <c r="H5" s="9"/>
      <c r="I5" s="22" t="s">
        <v>175</v>
      </c>
      <c r="J5" s="13"/>
      <c r="K5" s="29"/>
      <c r="L5" s="14"/>
      <c r="M5" s="14"/>
      <c r="N5" s="14"/>
      <c r="O5" s="14"/>
      <c r="P5" s="14"/>
      <c r="Q5" s="21"/>
      <c r="R5" s="6"/>
      <c r="S5" s="6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</row>
    <row r="6" spans="1:253" s="24" customFormat="1" ht="20" customHeight="1">
      <c r="A6" s="29" t="s">
        <v>59</v>
      </c>
      <c r="B6" s="1">
        <v>0.1</v>
      </c>
      <c r="C6" s="15" t="s">
        <v>20</v>
      </c>
      <c r="D6" s="6" t="s">
        <v>22</v>
      </c>
      <c r="E6" s="16">
        <v>42055</v>
      </c>
      <c r="F6" s="21" t="s">
        <v>172</v>
      </c>
      <c r="G6" s="6" t="s">
        <v>61</v>
      </c>
      <c r="H6" s="9"/>
      <c r="I6" s="22" t="s">
        <v>173</v>
      </c>
      <c r="J6" s="13"/>
      <c r="K6" s="9">
        <v>5751</v>
      </c>
      <c r="L6" s="14">
        <v>376624.03</v>
      </c>
      <c r="M6" s="14">
        <f>L6</f>
        <v>376624.03</v>
      </c>
      <c r="N6" s="14">
        <v>350481.79</v>
      </c>
      <c r="O6" s="14">
        <f>M6-N6</f>
        <v>26142.240000000049</v>
      </c>
      <c r="P6" s="14">
        <v>10</v>
      </c>
      <c r="Q6" s="21">
        <v>2614.2199999999998</v>
      </c>
      <c r="R6" s="6"/>
      <c r="S6" s="6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</row>
    <row r="7" spans="1:253" s="24" customFormat="1" ht="20" customHeight="1">
      <c r="A7" s="29" t="s">
        <v>59</v>
      </c>
      <c r="B7" s="1">
        <v>0.1</v>
      </c>
      <c r="C7" s="15" t="s">
        <v>60</v>
      </c>
      <c r="D7" s="6" t="s">
        <v>22</v>
      </c>
      <c r="E7" s="16">
        <v>42223</v>
      </c>
      <c r="F7" s="21" t="s">
        <v>242</v>
      </c>
      <c r="G7" s="6" t="s">
        <v>61</v>
      </c>
      <c r="H7" s="9"/>
      <c r="I7" s="22" t="s">
        <v>243</v>
      </c>
      <c r="J7" s="13"/>
      <c r="K7" s="29"/>
      <c r="L7" s="14"/>
      <c r="M7" s="14"/>
      <c r="N7" s="14"/>
      <c r="O7" s="14"/>
      <c r="P7" s="14"/>
      <c r="Q7" s="21"/>
      <c r="R7" s="6"/>
      <c r="S7" s="6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</row>
    <row r="8" spans="1:253" s="24" customFormat="1" ht="20" customHeight="1">
      <c r="A8" s="29" t="s">
        <v>59</v>
      </c>
      <c r="B8" s="1">
        <v>0.1</v>
      </c>
      <c r="C8" s="15" t="s">
        <v>20</v>
      </c>
      <c r="D8" s="6"/>
      <c r="E8" s="16">
        <v>42155</v>
      </c>
      <c r="F8" s="21" t="s">
        <v>516</v>
      </c>
      <c r="G8" s="6" t="s">
        <v>61</v>
      </c>
      <c r="H8" s="9"/>
      <c r="I8" s="22" t="s">
        <v>517</v>
      </c>
      <c r="J8" s="13"/>
      <c r="K8" s="9">
        <v>10903</v>
      </c>
      <c r="L8" s="14">
        <v>944481.23</v>
      </c>
      <c r="M8" s="14">
        <f>L8</f>
        <v>944481.23</v>
      </c>
      <c r="N8" s="14">
        <v>884806.49</v>
      </c>
      <c r="O8" s="14">
        <v>59674.74</v>
      </c>
      <c r="P8" s="14">
        <v>10</v>
      </c>
      <c r="Q8" s="21">
        <v>5967.47</v>
      </c>
      <c r="R8" s="6"/>
      <c r="S8" s="6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</row>
    <row r="9" spans="1:253" s="24" customFormat="1" ht="20" customHeight="1">
      <c r="A9" s="29" t="s">
        <v>59</v>
      </c>
      <c r="B9" s="1">
        <v>0.1</v>
      </c>
      <c r="C9" s="15" t="s">
        <v>20</v>
      </c>
      <c r="D9" s="6"/>
      <c r="E9" s="16">
        <v>42157</v>
      </c>
      <c r="F9" s="21" t="s">
        <v>518</v>
      </c>
      <c r="G9" s="6" t="s">
        <v>61</v>
      </c>
      <c r="H9" s="9"/>
      <c r="I9" s="22" t="s">
        <v>519</v>
      </c>
      <c r="J9" s="13"/>
      <c r="K9" s="9">
        <v>14494</v>
      </c>
      <c r="L9" s="14">
        <v>894836.11</v>
      </c>
      <c r="M9" s="14">
        <f>L9</f>
        <v>894836.11</v>
      </c>
      <c r="N9" s="14">
        <v>874719.57</v>
      </c>
      <c r="O9" s="14">
        <f>M9-N9</f>
        <v>20116.540000000037</v>
      </c>
      <c r="P9" s="14">
        <v>10</v>
      </c>
      <c r="Q9" s="21">
        <f>O9/10</f>
        <v>2011.6540000000036</v>
      </c>
      <c r="R9" s="6"/>
      <c r="S9" s="6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</row>
    <row r="10" spans="1:253" s="24" customFormat="1" ht="20" customHeight="1">
      <c r="A10" s="29" t="s">
        <v>59</v>
      </c>
      <c r="B10" s="1">
        <v>0.1</v>
      </c>
      <c r="C10" s="15" t="s">
        <v>20</v>
      </c>
      <c r="D10" s="6"/>
      <c r="E10" s="16">
        <v>42159</v>
      </c>
      <c r="F10" s="21" t="s">
        <v>520</v>
      </c>
      <c r="G10" s="6" t="s">
        <v>61</v>
      </c>
      <c r="H10" s="9"/>
      <c r="I10" s="22" t="s">
        <v>521</v>
      </c>
      <c r="J10" s="13"/>
      <c r="K10" s="9">
        <v>11329</v>
      </c>
      <c r="L10" s="14">
        <v>693824.04</v>
      </c>
      <c r="M10" s="14">
        <f>L10</f>
        <v>693824.04</v>
      </c>
      <c r="N10" s="14">
        <v>645191.15</v>
      </c>
      <c r="O10" s="14">
        <v>48632.89</v>
      </c>
      <c r="P10" s="14">
        <v>10</v>
      </c>
      <c r="Q10" s="21">
        <f>O10/10</f>
        <v>4863.2889999999998</v>
      </c>
      <c r="R10" s="6"/>
      <c r="S10" s="6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</row>
    <row r="11" spans="1:253" s="24" customFormat="1" ht="20" customHeight="1">
      <c r="A11" s="29">
        <v>1</v>
      </c>
      <c r="B11" s="1">
        <v>0.5</v>
      </c>
      <c r="C11" s="15" t="s">
        <v>20</v>
      </c>
      <c r="D11" s="6" t="s">
        <v>22</v>
      </c>
      <c r="E11" s="16">
        <v>41648</v>
      </c>
      <c r="F11" s="21" t="s">
        <v>44</v>
      </c>
      <c r="G11" s="6" t="s">
        <v>24</v>
      </c>
      <c r="H11" s="9">
        <v>2200</v>
      </c>
      <c r="I11" s="22" t="s">
        <v>45</v>
      </c>
      <c r="J11" s="13">
        <v>2200</v>
      </c>
      <c r="K11" s="9">
        <v>1469</v>
      </c>
      <c r="L11" s="14">
        <v>54710.62</v>
      </c>
      <c r="M11" s="14">
        <f>L11+1590.45</f>
        <v>56301.07</v>
      </c>
      <c r="N11" s="14">
        <v>60385.5</v>
      </c>
      <c r="O11" s="14">
        <f t="shared" ref="O11:O29" si="0">M11-N11</f>
        <v>-4084.4300000000003</v>
      </c>
      <c r="P11" s="14">
        <v>50</v>
      </c>
      <c r="Q11" s="21">
        <f>O11/2</f>
        <v>-2042.2150000000001</v>
      </c>
      <c r="R11" s="6" t="s">
        <v>41</v>
      </c>
      <c r="S11" s="6" t="s">
        <v>26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</row>
    <row r="12" spans="1:253" s="24" customFormat="1" ht="20" customHeight="1">
      <c r="A12" s="29">
        <v>2</v>
      </c>
      <c r="B12" s="1">
        <v>0.5</v>
      </c>
      <c r="C12" s="15" t="s">
        <v>31</v>
      </c>
      <c r="D12" s="6" t="s">
        <v>27</v>
      </c>
      <c r="E12" s="16">
        <v>41738</v>
      </c>
      <c r="F12" s="21" t="s">
        <v>46</v>
      </c>
      <c r="G12" s="6" t="s">
        <v>33</v>
      </c>
      <c r="H12" s="9">
        <v>150</v>
      </c>
      <c r="I12" s="22" t="s">
        <v>38</v>
      </c>
      <c r="J12" s="13">
        <f>J11+H12</f>
        <v>2350</v>
      </c>
      <c r="K12" s="9">
        <v>150</v>
      </c>
      <c r="L12" s="14">
        <v>2349</v>
      </c>
      <c r="M12" s="14">
        <v>2349</v>
      </c>
      <c r="N12" s="14">
        <v>1309</v>
      </c>
      <c r="O12" s="14">
        <f t="shared" si="0"/>
        <v>1040</v>
      </c>
      <c r="P12" s="14">
        <v>50</v>
      </c>
      <c r="Q12" s="21">
        <v>322.89999999999998</v>
      </c>
      <c r="R12" s="6" t="s">
        <v>36</v>
      </c>
      <c r="S12" s="6" t="s">
        <v>43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</row>
    <row r="13" spans="1:253" s="24" customFormat="1" ht="20" customHeight="1">
      <c r="A13" s="29">
        <v>3</v>
      </c>
      <c r="B13" s="1">
        <v>0.45</v>
      </c>
      <c r="C13" s="15" t="s">
        <v>20</v>
      </c>
      <c r="D13" s="6" t="s">
        <v>27</v>
      </c>
      <c r="E13" s="16">
        <v>42040</v>
      </c>
      <c r="F13" s="21" t="s">
        <v>47</v>
      </c>
      <c r="G13" s="6" t="s">
        <v>24</v>
      </c>
      <c r="H13" s="9">
        <v>2200</v>
      </c>
      <c r="I13" s="22">
        <v>30</v>
      </c>
      <c r="J13" s="13">
        <f t="shared" ref="J13:J75" si="1">J12+H13</f>
        <v>4550</v>
      </c>
      <c r="K13" s="9">
        <v>1246</v>
      </c>
      <c r="L13" s="14">
        <v>32508.14</v>
      </c>
      <c r="M13" s="14">
        <f>L13+1655.58</f>
        <v>34163.72</v>
      </c>
      <c r="N13" s="14">
        <v>41901.46</v>
      </c>
      <c r="O13" s="14">
        <f t="shared" si="0"/>
        <v>-7737.739999999998</v>
      </c>
      <c r="P13" s="14">
        <v>45</v>
      </c>
      <c r="Q13" s="21">
        <v>-3399.2</v>
      </c>
      <c r="R13" s="6" t="s">
        <v>39</v>
      </c>
      <c r="S13" s="6" t="s">
        <v>25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</row>
    <row r="14" spans="1:253" s="24" customFormat="1" ht="20" customHeight="1">
      <c r="A14" s="29">
        <v>4</v>
      </c>
      <c r="B14" s="1">
        <v>0.5</v>
      </c>
      <c r="C14" s="15" t="s">
        <v>20</v>
      </c>
      <c r="D14" s="6" t="s">
        <v>21</v>
      </c>
      <c r="E14" s="16">
        <v>42066</v>
      </c>
      <c r="F14" s="21" t="s">
        <v>356</v>
      </c>
      <c r="G14" s="6" t="s">
        <v>24</v>
      </c>
      <c r="H14" s="9">
        <v>2250</v>
      </c>
      <c r="I14" s="22" t="s">
        <v>37</v>
      </c>
      <c r="J14" s="13">
        <f t="shared" si="1"/>
        <v>6800</v>
      </c>
      <c r="K14" s="9">
        <v>2283</v>
      </c>
      <c r="L14" s="14">
        <v>54658.47</v>
      </c>
      <c r="M14" s="14">
        <f>L14+3195.97</f>
        <v>57854.44</v>
      </c>
      <c r="N14" s="14">
        <v>47593.06</v>
      </c>
      <c r="O14" s="14">
        <f t="shared" si="0"/>
        <v>10261.380000000005</v>
      </c>
      <c r="P14" s="14">
        <v>50</v>
      </c>
      <c r="Q14" s="21">
        <f t="shared" ref="Q14:Q19" si="2">O14/2</f>
        <v>5130.6900000000023</v>
      </c>
      <c r="R14" s="6" t="s">
        <v>28</v>
      </c>
      <c r="S14" s="6" t="s">
        <v>25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</row>
    <row r="15" spans="1:253" s="24" customFormat="1" ht="20" customHeight="1">
      <c r="A15" s="29">
        <v>5</v>
      </c>
      <c r="B15" s="1">
        <v>0.5</v>
      </c>
      <c r="C15" s="15" t="s">
        <v>20</v>
      </c>
      <c r="D15" s="6" t="s">
        <v>32</v>
      </c>
      <c r="E15" s="16">
        <v>41670</v>
      </c>
      <c r="F15" s="21" t="s">
        <v>158</v>
      </c>
      <c r="G15" s="6" t="s">
        <v>24</v>
      </c>
      <c r="H15" s="9">
        <v>2200</v>
      </c>
      <c r="I15" s="22">
        <v>30</v>
      </c>
      <c r="J15" s="13">
        <f t="shared" si="1"/>
        <v>9000</v>
      </c>
      <c r="K15" s="9">
        <v>2223</v>
      </c>
      <c r="L15" s="14">
        <v>57998.07</v>
      </c>
      <c r="M15" s="14">
        <f>L15+2861.03</f>
        <v>60859.1</v>
      </c>
      <c r="N15" s="14">
        <v>52351.26</v>
      </c>
      <c r="O15" s="14">
        <f t="shared" si="0"/>
        <v>8507.8399999999965</v>
      </c>
      <c r="P15" s="14">
        <v>50</v>
      </c>
      <c r="Q15" s="21">
        <f t="shared" si="2"/>
        <v>4253.9199999999983</v>
      </c>
      <c r="R15" s="6" t="s">
        <v>35</v>
      </c>
      <c r="S15" s="6" t="s">
        <v>25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</row>
    <row r="16" spans="1:253" s="24" customFormat="1" ht="20" customHeight="1">
      <c r="A16" s="29">
        <v>6</v>
      </c>
      <c r="B16" s="1">
        <v>0.5</v>
      </c>
      <c r="C16" s="15" t="s">
        <v>31</v>
      </c>
      <c r="D16" s="6" t="s">
        <v>23</v>
      </c>
      <c r="E16" s="16">
        <v>42051</v>
      </c>
      <c r="F16" s="21" t="s">
        <v>160</v>
      </c>
      <c r="G16" s="6" t="s">
        <v>183</v>
      </c>
      <c r="H16" s="9">
        <v>300</v>
      </c>
      <c r="I16" s="22" t="s">
        <v>34</v>
      </c>
      <c r="J16" s="13">
        <f t="shared" si="1"/>
        <v>9300</v>
      </c>
      <c r="K16" s="9">
        <v>145</v>
      </c>
      <c r="L16" s="14">
        <v>2245.96</v>
      </c>
      <c r="M16" s="14">
        <v>2245.96</v>
      </c>
      <c r="N16" s="14">
        <v>3981.79</v>
      </c>
      <c r="O16" s="14">
        <f t="shared" si="0"/>
        <v>-1735.83</v>
      </c>
      <c r="P16" s="14">
        <v>50</v>
      </c>
      <c r="Q16" s="21">
        <f t="shared" si="2"/>
        <v>-867.91499999999996</v>
      </c>
      <c r="R16" s="6" t="s">
        <v>42</v>
      </c>
      <c r="S16" s="6" t="s">
        <v>26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</row>
    <row r="17" spans="1:252" s="24" customFormat="1" ht="20" customHeight="1">
      <c r="A17" s="29">
        <v>7</v>
      </c>
      <c r="B17" s="1">
        <v>0.5</v>
      </c>
      <c r="C17" s="15" t="s">
        <v>20</v>
      </c>
      <c r="D17" s="6" t="s">
        <v>32</v>
      </c>
      <c r="E17" s="16">
        <v>42056</v>
      </c>
      <c r="F17" s="21" t="s">
        <v>48</v>
      </c>
      <c r="G17" s="6" t="s">
        <v>29</v>
      </c>
      <c r="H17" s="9">
        <v>800</v>
      </c>
      <c r="I17" s="22" t="s">
        <v>30</v>
      </c>
      <c r="J17" s="13">
        <f t="shared" si="1"/>
        <v>10100</v>
      </c>
      <c r="K17" s="9">
        <v>477</v>
      </c>
      <c r="L17" s="14">
        <v>10592.34</v>
      </c>
      <c r="M17" s="14">
        <f>L17+462.71</f>
        <v>11055.05</v>
      </c>
      <c r="N17" s="14">
        <v>13908.35</v>
      </c>
      <c r="O17" s="14">
        <f t="shared" si="0"/>
        <v>-2853.3000000000011</v>
      </c>
      <c r="P17" s="14">
        <v>50</v>
      </c>
      <c r="Q17" s="21">
        <f t="shared" si="2"/>
        <v>-1426.6500000000005</v>
      </c>
      <c r="R17" s="6" t="s">
        <v>39</v>
      </c>
      <c r="S17" s="6" t="s">
        <v>26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</row>
    <row r="18" spans="1:252" s="24" customFormat="1" ht="20" customHeight="1">
      <c r="A18" s="29">
        <v>8</v>
      </c>
      <c r="B18" s="1">
        <v>0.5</v>
      </c>
      <c r="C18" s="15" t="s">
        <v>20</v>
      </c>
      <c r="D18" s="6" t="s">
        <v>23</v>
      </c>
      <c r="E18" s="16">
        <v>41679</v>
      </c>
      <c r="F18" s="21" t="s">
        <v>65</v>
      </c>
      <c r="G18" s="6" t="s">
        <v>29</v>
      </c>
      <c r="H18" s="9">
        <v>800</v>
      </c>
      <c r="I18" s="22" t="s">
        <v>40</v>
      </c>
      <c r="J18" s="13">
        <f t="shared" si="1"/>
        <v>10900</v>
      </c>
      <c r="K18" s="9">
        <v>329</v>
      </c>
      <c r="L18" s="14">
        <v>7222.22</v>
      </c>
      <c r="M18" s="14">
        <f>L18+447.49</f>
        <v>7669.71</v>
      </c>
      <c r="N18" s="14">
        <v>10762.51</v>
      </c>
      <c r="O18" s="14">
        <f t="shared" si="0"/>
        <v>-3092.8</v>
      </c>
      <c r="P18" s="14">
        <v>50</v>
      </c>
      <c r="Q18" s="21">
        <f t="shared" si="2"/>
        <v>-1546.4</v>
      </c>
      <c r="R18" s="6" t="s">
        <v>42</v>
      </c>
      <c r="S18" s="6" t="s">
        <v>26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</row>
    <row r="19" spans="1:252" s="24" customFormat="1" ht="20" customHeight="1">
      <c r="A19" s="29">
        <v>9</v>
      </c>
      <c r="B19" s="1">
        <v>0.33329999999999999</v>
      </c>
      <c r="C19" s="15" t="s">
        <v>31</v>
      </c>
      <c r="D19" s="6" t="s">
        <v>32</v>
      </c>
      <c r="E19" s="16">
        <v>41733</v>
      </c>
      <c r="F19" s="21" t="s">
        <v>213</v>
      </c>
      <c r="G19" s="6" t="s">
        <v>49</v>
      </c>
      <c r="H19" s="9">
        <v>550</v>
      </c>
      <c r="I19" s="22">
        <v>20</v>
      </c>
      <c r="J19" s="13">
        <f t="shared" si="1"/>
        <v>11450</v>
      </c>
      <c r="K19" s="9">
        <v>227</v>
      </c>
      <c r="L19" s="14">
        <v>3947.53</v>
      </c>
      <c r="M19" s="14">
        <v>3947.53</v>
      </c>
      <c r="N19" s="14">
        <v>5772.68</v>
      </c>
      <c r="O19" s="14">
        <f t="shared" si="0"/>
        <v>-1825.15</v>
      </c>
      <c r="P19" s="14">
        <v>50</v>
      </c>
      <c r="Q19" s="21">
        <f t="shared" si="2"/>
        <v>-912.57500000000005</v>
      </c>
      <c r="R19" s="6" t="s">
        <v>50</v>
      </c>
      <c r="S19" s="6" t="s">
        <v>26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</row>
    <row r="20" spans="1:252" s="24" customFormat="1" ht="20" customHeight="1">
      <c r="A20" s="29">
        <v>10</v>
      </c>
      <c r="B20" s="1">
        <v>0.33</v>
      </c>
      <c r="C20" s="15" t="s">
        <v>20</v>
      </c>
      <c r="D20" s="6" t="s">
        <v>21</v>
      </c>
      <c r="E20" s="16">
        <v>41673</v>
      </c>
      <c r="F20" s="21" t="s">
        <v>51</v>
      </c>
      <c r="G20" s="6" t="s">
        <v>24</v>
      </c>
      <c r="H20" s="9">
        <v>2200</v>
      </c>
      <c r="I20" s="22" t="s">
        <v>52</v>
      </c>
      <c r="J20" s="13">
        <f t="shared" si="1"/>
        <v>13650</v>
      </c>
      <c r="K20" s="9">
        <v>2200</v>
      </c>
      <c r="L20" s="14">
        <v>105334.8</v>
      </c>
      <c r="M20" s="14">
        <f>L20+3018.72</f>
        <v>108353.52</v>
      </c>
      <c r="N20" s="14">
        <v>94461.51</v>
      </c>
      <c r="O20" s="14">
        <f t="shared" si="0"/>
        <v>13892.010000000009</v>
      </c>
      <c r="P20" s="14">
        <v>33</v>
      </c>
      <c r="Q20" s="21">
        <v>4630.67</v>
      </c>
      <c r="R20" s="6" t="s">
        <v>28</v>
      </c>
      <c r="S20" s="6" t="s">
        <v>25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</row>
    <row r="21" spans="1:252" s="24" customFormat="1" ht="20" customHeight="1">
      <c r="A21" s="29">
        <v>11</v>
      </c>
      <c r="B21" s="1">
        <v>0.5</v>
      </c>
      <c r="C21" s="15" t="s">
        <v>20</v>
      </c>
      <c r="D21" s="6" t="s">
        <v>22</v>
      </c>
      <c r="E21" s="16">
        <v>42097</v>
      </c>
      <c r="F21" s="21" t="s">
        <v>147</v>
      </c>
      <c r="G21" s="6" t="s">
        <v>24</v>
      </c>
      <c r="H21" s="9">
        <v>2200</v>
      </c>
      <c r="I21" s="22" t="s">
        <v>53</v>
      </c>
      <c r="J21" s="13">
        <f t="shared" si="1"/>
        <v>15850</v>
      </c>
      <c r="K21" s="9">
        <v>2278</v>
      </c>
      <c r="L21" s="14">
        <v>43656.44</v>
      </c>
      <c r="M21" s="14">
        <f>L21+2848.85+2271.74</f>
        <v>48777.03</v>
      </c>
      <c r="N21" s="14">
        <v>38292.92</v>
      </c>
      <c r="O21" s="14">
        <f t="shared" si="0"/>
        <v>10484.11</v>
      </c>
      <c r="P21" s="14">
        <v>50</v>
      </c>
      <c r="Q21" s="21">
        <f t="shared" ref="Q21:Q30" si="3">O21/2</f>
        <v>5242.0550000000003</v>
      </c>
      <c r="R21" s="6" t="s">
        <v>54</v>
      </c>
      <c r="S21" s="6" t="s">
        <v>55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</row>
    <row r="22" spans="1:252" s="24" customFormat="1" ht="20" customHeight="1">
      <c r="A22" s="29">
        <v>12</v>
      </c>
      <c r="B22" s="1">
        <v>0.5</v>
      </c>
      <c r="C22" s="15" t="s">
        <v>31</v>
      </c>
      <c r="D22" s="6" t="s">
        <v>21</v>
      </c>
      <c r="E22" s="16">
        <v>41708</v>
      </c>
      <c r="F22" s="21" t="s">
        <v>206</v>
      </c>
      <c r="G22" s="6" t="s">
        <v>56</v>
      </c>
      <c r="H22" s="9">
        <v>300</v>
      </c>
      <c r="I22" s="22" t="s">
        <v>57</v>
      </c>
      <c r="J22" s="13">
        <f t="shared" si="1"/>
        <v>16150</v>
      </c>
      <c r="K22" s="9">
        <v>197</v>
      </c>
      <c r="L22" s="14">
        <v>2794.52</v>
      </c>
      <c r="M22" s="14">
        <v>2794.52</v>
      </c>
      <c r="N22" s="14">
        <v>3284.08</v>
      </c>
      <c r="O22" s="14">
        <f t="shared" si="0"/>
        <v>-489.55999999999995</v>
      </c>
      <c r="P22" s="14">
        <v>50</v>
      </c>
      <c r="Q22" s="21">
        <f t="shared" si="3"/>
        <v>-244.77999999999997</v>
      </c>
      <c r="R22" s="6" t="s">
        <v>58</v>
      </c>
      <c r="S22" s="6" t="s">
        <v>55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</row>
    <row r="23" spans="1:252" s="24" customFormat="1" ht="20" customHeight="1">
      <c r="A23" s="29">
        <v>13</v>
      </c>
      <c r="B23" s="1">
        <v>0.5</v>
      </c>
      <c r="C23" s="15" t="s">
        <v>20</v>
      </c>
      <c r="D23" s="6" t="s">
        <v>27</v>
      </c>
      <c r="E23" s="16">
        <v>42103</v>
      </c>
      <c r="F23" s="21" t="s">
        <v>204</v>
      </c>
      <c r="G23" s="6" t="s">
        <v>29</v>
      </c>
      <c r="H23" s="9">
        <v>900</v>
      </c>
      <c r="I23" s="22" t="s">
        <v>63</v>
      </c>
      <c r="J23" s="13">
        <f t="shared" si="1"/>
        <v>17050</v>
      </c>
      <c r="K23" s="9">
        <v>787</v>
      </c>
      <c r="L23" s="14">
        <v>23113.25</v>
      </c>
      <c r="M23" s="14">
        <f>L23+228.31</f>
        <v>23341.56</v>
      </c>
      <c r="N23" s="14">
        <v>35354.410000000003</v>
      </c>
      <c r="O23" s="14">
        <f t="shared" si="0"/>
        <v>-12012.850000000002</v>
      </c>
      <c r="P23" s="14">
        <v>50</v>
      </c>
      <c r="Q23" s="21">
        <f t="shared" si="3"/>
        <v>-6006.4250000000011</v>
      </c>
      <c r="R23" s="6" t="s">
        <v>64</v>
      </c>
      <c r="S23" s="6" t="s">
        <v>55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</row>
    <row r="24" spans="1:252" s="24" customFormat="1" ht="20" customHeight="1">
      <c r="A24" s="29">
        <v>14</v>
      </c>
      <c r="B24" s="1">
        <v>0.5</v>
      </c>
      <c r="C24" s="15" t="s">
        <v>20</v>
      </c>
      <c r="D24" s="6" t="s">
        <v>32</v>
      </c>
      <c r="E24" s="16">
        <v>41698</v>
      </c>
      <c r="F24" s="21" t="s">
        <v>66</v>
      </c>
      <c r="G24" s="6" t="s">
        <v>67</v>
      </c>
      <c r="H24" s="9">
        <v>2200</v>
      </c>
      <c r="I24" s="22" t="s">
        <v>68</v>
      </c>
      <c r="J24" s="13">
        <f t="shared" si="1"/>
        <v>19250</v>
      </c>
      <c r="K24" s="9">
        <v>1228</v>
      </c>
      <c r="L24" s="14">
        <v>44651.51</v>
      </c>
      <c r="M24" s="14">
        <f>L24+2092.86</f>
        <v>46744.37</v>
      </c>
      <c r="N24" s="14">
        <v>41743.050000000003</v>
      </c>
      <c r="O24" s="14">
        <f t="shared" si="0"/>
        <v>5001.32</v>
      </c>
      <c r="P24" s="14">
        <v>50</v>
      </c>
      <c r="Q24" s="21">
        <f t="shared" si="3"/>
        <v>2500.66</v>
      </c>
      <c r="R24" s="6"/>
      <c r="S24" s="6" t="s">
        <v>26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</row>
    <row r="25" spans="1:252" s="24" customFormat="1" ht="20" customHeight="1">
      <c r="A25" s="29">
        <v>15</v>
      </c>
      <c r="B25" s="1">
        <v>0.5</v>
      </c>
      <c r="C25" s="15" t="s">
        <v>20</v>
      </c>
      <c r="D25" s="6" t="s">
        <v>22</v>
      </c>
      <c r="E25" s="16">
        <v>42027</v>
      </c>
      <c r="F25" s="21" t="s">
        <v>357</v>
      </c>
      <c r="G25" s="6" t="s">
        <v>67</v>
      </c>
      <c r="H25" s="9">
        <v>2200</v>
      </c>
      <c r="I25" s="22" t="s">
        <v>30</v>
      </c>
      <c r="J25" s="13">
        <f t="shared" si="1"/>
        <v>21450</v>
      </c>
      <c r="K25" s="9">
        <v>2247</v>
      </c>
      <c r="L25" s="14">
        <v>48852.55</v>
      </c>
      <c r="M25" s="14">
        <f>L25+5417.76</f>
        <v>54270.310000000005</v>
      </c>
      <c r="N25" s="14">
        <v>41761.31</v>
      </c>
      <c r="O25" s="14">
        <f t="shared" si="0"/>
        <v>12509.000000000007</v>
      </c>
      <c r="P25" s="14">
        <v>50</v>
      </c>
      <c r="Q25" s="21">
        <f t="shared" si="3"/>
        <v>6254.5000000000036</v>
      </c>
      <c r="R25" s="6" t="s">
        <v>70</v>
      </c>
      <c r="S25" s="6" t="s">
        <v>25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</row>
    <row r="26" spans="1:252" s="24" customFormat="1" ht="20" customHeight="1">
      <c r="A26" s="29">
        <v>16</v>
      </c>
      <c r="B26" s="1">
        <v>0.5</v>
      </c>
      <c r="C26" s="15" t="s">
        <v>20</v>
      </c>
      <c r="D26" s="6" t="s">
        <v>32</v>
      </c>
      <c r="E26" s="16">
        <v>42077</v>
      </c>
      <c r="F26" s="21" t="s">
        <v>71</v>
      </c>
      <c r="G26" s="6" t="s">
        <v>24</v>
      </c>
      <c r="H26" s="9">
        <v>2200</v>
      </c>
      <c r="I26" s="22" t="s">
        <v>72</v>
      </c>
      <c r="J26" s="13">
        <f t="shared" si="1"/>
        <v>23650</v>
      </c>
      <c r="K26" s="9">
        <v>883</v>
      </c>
      <c r="L26" s="14">
        <v>23083.200000000001</v>
      </c>
      <c r="M26" s="14">
        <f>L26+966.88</f>
        <v>24050.080000000002</v>
      </c>
      <c r="N26" s="14">
        <v>40306.959999999999</v>
      </c>
      <c r="O26" s="14">
        <f t="shared" si="0"/>
        <v>-16256.879999999997</v>
      </c>
      <c r="P26" s="14">
        <v>50</v>
      </c>
      <c r="Q26" s="21">
        <f t="shared" si="3"/>
        <v>-8128.4399999999987</v>
      </c>
      <c r="R26" s="6" t="s">
        <v>70</v>
      </c>
      <c r="S26" s="6" t="s">
        <v>55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</row>
    <row r="27" spans="1:252" s="24" customFormat="1" ht="20" customHeight="1">
      <c r="A27" s="29">
        <v>17</v>
      </c>
      <c r="B27" s="1">
        <v>0.5</v>
      </c>
      <c r="C27" s="15" t="s">
        <v>20</v>
      </c>
      <c r="D27" s="6" t="s">
        <v>73</v>
      </c>
      <c r="E27" s="16" t="s">
        <v>74</v>
      </c>
      <c r="F27" s="21" t="s">
        <v>205</v>
      </c>
      <c r="G27" s="6" t="s">
        <v>24</v>
      </c>
      <c r="H27" s="9">
        <v>2200</v>
      </c>
      <c r="I27" s="22" t="s">
        <v>76</v>
      </c>
      <c r="J27" s="13">
        <f t="shared" si="1"/>
        <v>25850</v>
      </c>
      <c r="K27" s="9">
        <v>1490</v>
      </c>
      <c r="L27" s="14">
        <v>42400.06</v>
      </c>
      <c r="M27" s="14">
        <f>L27+1872.61</f>
        <v>44272.67</v>
      </c>
      <c r="N27" s="14">
        <v>50628.26</v>
      </c>
      <c r="O27" s="14">
        <f t="shared" si="0"/>
        <v>-6355.5900000000038</v>
      </c>
      <c r="P27" s="14">
        <v>50</v>
      </c>
      <c r="Q27" s="21">
        <f t="shared" si="3"/>
        <v>-3177.7950000000019</v>
      </c>
      <c r="R27" s="6" t="s">
        <v>39</v>
      </c>
      <c r="S27" s="6" t="s">
        <v>26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</row>
    <row r="28" spans="1:252" s="24" customFormat="1" ht="20" customHeight="1">
      <c r="A28" s="29">
        <v>18</v>
      </c>
      <c r="B28" s="1">
        <v>0.5</v>
      </c>
      <c r="C28" s="15" t="s">
        <v>31</v>
      </c>
      <c r="D28" s="6" t="s">
        <v>75</v>
      </c>
      <c r="E28" s="16">
        <v>42025</v>
      </c>
      <c r="F28" s="21" t="s">
        <v>148</v>
      </c>
      <c r="G28" s="6" t="s">
        <v>56</v>
      </c>
      <c r="H28" s="9">
        <v>300</v>
      </c>
      <c r="I28" s="22" t="s">
        <v>57</v>
      </c>
      <c r="J28" s="13">
        <f t="shared" si="1"/>
        <v>26150</v>
      </c>
      <c r="K28" s="9">
        <v>87</v>
      </c>
      <c r="L28" s="14">
        <v>1362.42</v>
      </c>
      <c r="M28" s="14">
        <v>1362.42</v>
      </c>
      <c r="N28" s="14">
        <v>2740.75</v>
      </c>
      <c r="O28" s="14">
        <f t="shared" si="0"/>
        <v>-1378.33</v>
      </c>
      <c r="P28" s="14">
        <v>50</v>
      </c>
      <c r="Q28" s="21">
        <f t="shared" si="3"/>
        <v>-689.16499999999996</v>
      </c>
      <c r="R28" s="6" t="s">
        <v>70</v>
      </c>
      <c r="S28" s="6" t="s">
        <v>43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</row>
    <row r="29" spans="1:252" s="24" customFormat="1" ht="20" customHeight="1">
      <c r="A29" s="29">
        <v>19</v>
      </c>
      <c r="B29" s="1">
        <v>0.5</v>
      </c>
      <c r="C29" s="15" t="s">
        <v>20</v>
      </c>
      <c r="D29" s="6" t="s">
        <v>22</v>
      </c>
      <c r="E29" s="16">
        <v>42055</v>
      </c>
      <c r="F29" s="21" t="s">
        <v>77</v>
      </c>
      <c r="G29" s="6" t="s">
        <v>24</v>
      </c>
      <c r="H29" s="9">
        <v>2200</v>
      </c>
      <c r="I29" s="22">
        <v>25</v>
      </c>
      <c r="J29" s="13">
        <f t="shared" si="1"/>
        <v>28350</v>
      </c>
      <c r="K29" s="9">
        <v>1212</v>
      </c>
      <c r="L29" s="14">
        <v>26348.880000000001</v>
      </c>
      <c r="M29" s="14">
        <f>L29+1627.75</f>
        <v>27976.63</v>
      </c>
      <c r="N29" s="14">
        <v>33964.94</v>
      </c>
      <c r="O29" s="14">
        <f t="shared" si="0"/>
        <v>-5988.3100000000013</v>
      </c>
      <c r="P29" s="14">
        <v>50</v>
      </c>
      <c r="Q29" s="21">
        <f t="shared" si="3"/>
        <v>-2994.1550000000007</v>
      </c>
      <c r="R29" s="6" t="s">
        <v>70</v>
      </c>
      <c r="S29" s="6" t="s">
        <v>26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</row>
    <row r="30" spans="1:252" s="24" customFormat="1" ht="20" customHeight="1">
      <c r="A30" s="29">
        <v>20</v>
      </c>
      <c r="B30" s="1">
        <v>0.5</v>
      </c>
      <c r="C30" s="15" t="s">
        <v>31</v>
      </c>
      <c r="D30" s="6" t="s">
        <v>23</v>
      </c>
      <c r="E30" s="16">
        <v>42051</v>
      </c>
      <c r="F30" s="21" t="s">
        <v>78</v>
      </c>
      <c r="G30" s="6" t="s">
        <v>29</v>
      </c>
      <c r="H30" s="9">
        <v>800</v>
      </c>
      <c r="I30" s="22" t="s">
        <v>79</v>
      </c>
      <c r="J30" s="13">
        <f t="shared" si="1"/>
        <v>29150</v>
      </c>
      <c r="K30" s="9">
        <v>928</v>
      </c>
      <c r="L30" s="14">
        <v>18560</v>
      </c>
      <c r="M30" s="14">
        <v>18560</v>
      </c>
      <c r="N30" s="14">
        <v>14550.44</v>
      </c>
      <c r="O30" s="14">
        <v>2456.62</v>
      </c>
      <c r="P30" s="14">
        <v>50</v>
      </c>
      <c r="Q30" s="21">
        <f t="shared" si="3"/>
        <v>1228.31</v>
      </c>
      <c r="R30" s="6" t="s">
        <v>41</v>
      </c>
      <c r="S30" s="6" t="s">
        <v>80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</row>
    <row r="31" spans="1:252" s="24" customFormat="1" ht="20" customHeight="1">
      <c r="A31" s="29">
        <v>21</v>
      </c>
      <c r="B31" s="1">
        <v>0.5</v>
      </c>
      <c r="C31" s="15" t="s">
        <v>20</v>
      </c>
      <c r="D31" s="6" t="s">
        <v>22</v>
      </c>
      <c r="E31" s="16">
        <v>42069</v>
      </c>
      <c r="F31" s="21" t="s">
        <v>202</v>
      </c>
      <c r="G31" s="6" t="s">
        <v>29</v>
      </c>
      <c r="H31" s="9">
        <v>800</v>
      </c>
      <c r="I31" s="22" t="s">
        <v>81</v>
      </c>
      <c r="J31" s="13">
        <f t="shared" si="1"/>
        <v>29950</v>
      </c>
      <c r="K31" s="9">
        <v>612</v>
      </c>
      <c r="L31" s="14">
        <v>12072.47</v>
      </c>
      <c r="M31" s="14">
        <f>L31+838.66</f>
        <v>12911.13</v>
      </c>
      <c r="N31" s="14">
        <v>11653.75</v>
      </c>
      <c r="O31" s="14">
        <f>M31-N31</f>
        <v>1257.3799999999992</v>
      </c>
      <c r="P31" s="14">
        <v>50</v>
      </c>
      <c r="Q31" s="21">
        <f>O31/2</f>
        <v>628.6899999999996</v>
      </c>
      <c r="R31" s="6" t="s">
        <v>39</v>
      </c>
      <c r="S31" s="6" t="s">
        <v>26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</row>
    <row r="32" spans="1:252" s="24" customFormat="1" ht="20" customHeight="1">
      <c r="A32" s="29">
        <v>22</v>
      </c>
      <c r="B32" s="1">
        <v>0.5</v>
      </c>
      <c r="C32" s="15" t="s">
        <v>20</v>
      </c>
      <c r="D32" s="6" t="s">
        <v>21</v>
      </c>
      <c r="E32" s="16">
        <v>42066</v>
      </c>
      <c r="F32" s="21" t="s">
        <v>82</v>
      </c>
      <c r="G32" s="6" t="s">
        <v>29</v>
      </c>
      <c r="H32" s="9">
        <v>800</v>
      </c>
      <c r="I32" s="22" t="s">
        <v>34</v>
      </c>
      <c r="J32" s="13">
        <f t="shared" si="1"/>
        <v>30750</v>
      </c>
      <c r="K32" s="9">
        <v>365</v>
      </c>
      <c r="L32" s="14">
        <v>5644.27</v>
      </c>
      <c r="M32" s="14">
        <f>L32+404.87</f>
        <v>6049.14</v>
      </c>
      <c r="N32" s="14">
        <v>7320.14</v>
      </c>
      <c r="O32" s="14">
        <f>M32-N32</f>
        <v>-1271</v>
      </c>
      <c r="P32" s="14">
        <v>50</v>
      </c>
      <c r="Q32" s="21">
        <f>O32/2</f>
        <v>-635.5</v>
      </c>
      <c r="R32" s="6" t="s">
        <v>70</v>
      </c>
      <c r="S32" s="6" t="s">
        <v>26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</row>
    <row r="33" spans="1:252" s="24" customFormat="1" ht="20" customHeight="1">
      <c r="A33" s="29">
        <v>23</v>
      </c>
      <c r="B33" s="1">
        <v>0.5</v>
      </c>
      <c r="C33" s="15" t="s">
        <v>20</v>
      </c>
      <c r="D33" s="6" t="s">
        <v>32</v>
      </c>
      <c r="E33" s="16">
        <v>42106</v>
      </c>
      <c r="F33" s="21" t="s">
        <v>119</v>
      </c>
      <c r="G33" s="6" t="s">
        <v>29</v>
      </c>
      <c r="H33" s="9">
        <v>926</v>
      </c>
      <c r="I33" s="22" t="s">
        <v>79</v>
      </c>
      <c r="J33" s="13">
        <f t="shared" si="1"/>
        <v>31676</v>
      </c>
      <c r="K33" s="9">
        <v>926</v>
      </c>
      <c r="L33" s="14">
        <v>18520</v>
      </c>
      <c r="M33" s="14">
        <f>L33+1111.11</f>
        <v>19631.11</v>
      </c>
      <c r="N33" s="14">
        <v>15724.96</v>
      </c>
      <c r="O33" s="14">
        <f>M33-N33</f>
        <v>3906.1500000000015</v>
      </c>
      <c r="P33" s="14">
        <v>50</v>
      </c>
      <c r="Q33" s="21">
        <f>O33/2</f>
        <v>1953.0750000000007</v>
      </c>
      <c r="R33" s="6" t="s">
        <v>50</v>
      </c>
      <c r="S33" s="6" t="s">
        <v>83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</row>
    <row r="34" spans="1:252" s="24" customFormat="1" ht="20" customHeight="1">
      <c r="A34" s="29">
        <v>24</v>
      </c>
      <c r="B34" s="1">
        <v>0.5</v>
      </c>
      <c r="C34" s="15" t="s">
        <v>31</v>
      </c>
      <c r="D34" s="6" t="s">
        <v>32</v>
      </c>
      <c r="E34" s="16">
        <v>42111</v>
      </c>
      <c r="F34" s="21" t="s">
        <v>84</v>
      </c>
      <c r="G34" s="6" t="s">
        <v>85</v>
      </c>
      <c r="H34" s="9">
        <v>300</v>
      </c>
      <c r="I34" s="22" t="s">
        <v>86</v>
      </c>
      <c r="J34" s="13">
        <f t="shared" si="1"/>
        <v>31976</v>
      </c>
      <c r="K34" s="9">
        <v>247</v>
      </c>
      <c r="L34" s="14">
        <v>3011.6</v>
      </c>
      <c r="M34" s="14">
        <v>3011.6</v>
      </c>
      <c r="N34" s="14">
        <v>2598.59</v>
      </c>
      <c r="O34" s="14">
        <v>393.27</v>
      </c>
      <c r="P34" s="14">
        <v>50</v>
      </c>
      <c r="Q34" s="21">
        <f>O34/2</f>
        <v>196.63499999999999</v>
      </c>
      <c r="R34" s="6" t="s">
        <v>87</v>
      </c>
      <c r="S34" s="6" t="s">
        <v>26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</row>
    <row r="35" spans="1:252" s="24" customFormat="1" ht="20" customHeight="1">
      <c r="A35" s="29">
        <v>25</v>
      </c>
      <c r="B35" s="1">
        <v>0.33333000000000002</v>
      </c>
      <c r="C35" s="15" t="s">
        <v>88</v>
      </c>
      <c r="D35" s="30">
        <f>E35</f>
        <v>42049</v>
      </c>
      <c r="E35" s="16">
        <v>42049</v>
      </c>
      <c r="F35" s="31" t="s">
        <v>224</v>
      </c>
      <c r="G35" s="6" t="s">
        <v>89</v>
      </c>
      <c r="H35" s="9">
        <v>1100</v>
      </c>
      <c r="I35" s="22" t="s">
        <v>90</v>
      </c>
      <c r="J35" s="13">
        <f t="shared" si="1"/>
        <v>33076</v>
      </c>
      <c r="K35" s="9">
        <v>1001</v>
      </c>
      <c r="L35" s="14">
        <v>18195.259999999998</v>
      </c>
      <c r="M35" s="14">
        <f>L35</f>
        <v>18195.259999999998</v>
      </c>
      <c r="N35" s="14">
        <v>13653.48</v>
      </c>
      <c r="O35" s="14">
        <f>M35-N35</f>
        <v>4541.7799999999988</v>
      </c>
      <c r="P35" s="14">
        <v>20</v>
      </c>
      <c r="Q35" s="21">
        <f>O35/5</f>
        <v>908.35599999999977</v>
      </c>
      <c r="R35" s="6"/>
      <c r="S35" s="6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</row>
    <row r="36" spans="1:252" s="24" customFormat="1" ht="20" customHeight="1">
      <c r="A36" s="29">
        <v>26</v>
      </c>
      <c r="B36" s="1">
        <v>0.33</v>
      </c>
      <c r="C36" s="15" t="s">
        <v>91</v>
      </c>
      <c r="D36" s="6" t="s">
        <v>21</v>
      </c>
      <c r="E36" s="16">
        <v>42038</v>
      </c>
      <c r="F36" s="21" t="s">
        <v>92</v>
      </c>
      <c r="G36" s="6" t="s">
        <v>29</v>
      </c>
      <c r="H36" s="9">
        <v>800</v>
      </c>
      <c r="I36" s="22" t="s">
        <v>93</v>
      </c>
      <c r="J36" s="13">
        <f t="shared" si="1"/>
        <v>33876</v>
      </c>
      <c r="K36" s="9">
        <v>533</v>
      </c>
      <c r="L36" s="14">
        <v>12155.53</v>
      </c>
      <c r="M36" s="14">
        <f>L36+613.39</f>
        <v>12768.92</v>
      </c>
      <c r="N36" s="14">
        <v>14844.13</v>
      </c>
      <c r="O36" s="14">
        <f>M36-N36</f>
        <v>-2075.2099999999991</v>
      </c>
      <c r="P36" s="14">
        <v>33</v>
      </c>
      <c r="Q36" s="21">
        <v>-589.5</v>
      </c>
      <c r="R36" s="6"/>
      <c r="S36" s="6" t="s">
        <v>55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</row>
    <row r="37" spans="1:252" s="24" customFormat="1" ht="20" customHeight="1">
      <c r="A37" s="29">
        <v>27</v>
      </c>
      <c r="B37" s="1">
        <v>0.5</v>
      </c>
      <c r="C37" s="15" t="s">
        <v>20</v>
      </c>
      <c r="D37" s="6" t="s">
        <v>75</v>
      </c>
      <c r="E37" s="16">
        <v>42060</v>
      </c>
      <c r="F37" s="21" t="s">
        <v>94</v>
      </c>
      <c r="G37" s="6" t="s">
        <v>24</v>
      </c>
      <c r="H37" s="9">
        <v>2200</v>
      </c>
      <c r="I37" s="22" t="s">
        <v>95</v>
      </c>
      <c r="J37" s="13">
        <f t="shared" si="1"/>
        <v>36076</v>
      </c>
      <c r="K37" s="9">
        <v>1304</v>
      </c>
      <c r="L37" s="14">
        <v>34689.519999999997</v>
      </c>
      <c r="M37" s="14">
        <f>L37+1195.44</f>
        <v>35884.959999999999</v>
      </c>
      <c r="N37" s="14">
        <v>44501.23</v>
      </c>
      <c r="O37" s="14">
        <f>M37-N37</f>
        <v>-8616.2700000000041</v>
      </c>
      <c r="P37" s="14">
        <v>50</v>
      </c>
      <c r="Q37" s="21">
        <f>O37/2</f>
        <v>-4308.135000000002</v>
      </c>
      <c r="R37" s="6" t="s">
        <v>64</v>
      </c>
      <c r="S37" s="6" t="s">
        <v>55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</row>
    <row r="38" spans="1:252" s="24" customFormat="1" ht="20" customHeight="1">
      <c r="A38" s="29">
        <v>28</v>
      </c>
      <c r="B38" s="1">
        <v>0.33</v>
      </c>
      <c r="C38" s="15" t="s">
        <v>96</v>
      </c>
      <c r="D38" s="6" t="s">
        <v>75</v>
      </c>
      <c r="E38" s="16">
        <v>41674</v>
      </c>
      <c r="F38" s="21" t="s">
        <v>97</v>
      </c>
      <c r="G38" s="6" t="s">
        <v>89</v>
      </c>
      <c r="H38" s="9">
        <v>1050</v>
      </c>
      <c r="I38" s="22" t="s">
        <v>79</v>
      </c>
      <c r="J38" s="13">
        <f t="shared" si="1"/>
        <v>37126</v>
      </c>
      <c r="K38" s="9">
        <v>866</v>
      </c>
      <c r="L38" s="14">
        <v>16746.02</v>
      </c>
      <c r="M38" s="14">
        <v>16746.02</v>
      </c>
      <c r="N38" s="14">
        <v>15539.06</v>
      </c>
      <c r="O38" s="14">
        <v>1206.96</v>
      </c>
      <c r="P38" s="14">
        <v>0.33333000000000002</v>
      </c>
      <c r="Q38" s="21">
        <f>P38*O38</f>
        <v>402.31597680000004</v>
      </c>
      <c r="R38" s="6" t="s">
        <v>98</v>
      </c>
      <c r="S38" s="6" t="s">
        <v>99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  <row r="39" spans="1:252" s="24" customFormat="1" ht="20" customHeight="1">
      <c r="A39" s="29">
        <v>29</v>
      </c>
      <c r="B39" s="1">
        <v>0.5</v>
      </c>
      <c r="C39" s="15" t="s">
        <v>20</v>
      </c>
      <c r="D39" s="6" t="s">
        <v>75</v>
      </c>
      <c r="E39" s="16">
        <v>42039</v>
      </c>
      <c r="F39" s="21" t="s">
        <v>100</v>
      </c>
      <c r="G39" s="6" t="s">
        <v>29</v>
      </c>
      <c r="H39" s="9">
        <v>800</v>
      </c>
      <c r="I39" s="22">
        <v>30</v>
      </c>
      <c r="J39" s="13">
        <f t="shared" si="1"/>
        <v>37926</v>
      </c>
      <c r="K39" s="9">
        <v>322</v>
      </c>
      <c r="L39" s="14">
        <v>8404.2000000000007</v>
      </c>
      <c r="M39" s="14">
        <f>L39+572.3</f>
        <v>8976.5</v>
      </c>
      <c r="N39" s="14">
        <v>12715.3</v>
      </c>
      <c r="O39" s="14">
        <f>M39-N39</f>
        <v>-3738.7999999999993</v>
      </c>
      <c r="P39" s="14">
        <v>50</v>
      </c>
      <c r="Q39" s="21">
        <f t="shared" ref="Q39:Q45" si="4">O39/2</f>
        <v>-1869.3999999999996</v>
      </c>
      <c r="R39" s="6" t="s">
        <v>101</v>
      </c>
      <c r="S39" s="6" t="s">
        <v>26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</row>
    <row r="40" spans="1:252" s="24" customFormat="1" ht="20" customHeight="1">
      <c r="A40" s="29">
        <v>30</v>
      </c>
      <c r="B40" s="1">
        <v>0.5</v>
      </c>
      <c r="C40" s="15" t="s">
        <v>20</v>
      </c>
      <c r="D40" s="6" t="s">
        <v>75</v>
      </c>
      <c r="E40" s="16">
        <v>42095</v>
      </c>
      <c r="F40" s="21" t="s">
        <v>214</v>
      </c>
      <c r="G40" s="6" t="s">
        <v>56</v>
      </c>
      <c r="H40" s="9">
        <v>300</v>
      </c>
      <c r="I40" s="22" t="s">
        <v>102</v>
      </c>
      <c r="J40" s="13">
        <f t="shared" si="1"/>
        <v>38226</v>
      </c>
      <c r="K40" s="9">
        <v>268</v>
      </c>
      <c r="L40" s="14">
        <v>4717.07</v>
      </c>
      <c r="M40" s="14">
        <v>4717.07</v>
      </c>
      <c r="N40" s="14">
        <v>7330.2</v>
      </c>
      <c r="O40" s="14">
        <f>M40-N40</f>
        <v>-2613.13</v>
      </c>
      <c r="P40" s="14">
        <v>50</v>
      </c>
      <c r="Q40" s="21">
        <f t="shared" si="4"/>
        <v>-1306.5650000000001</v>
      </c>
      <c r="R40" s="6" t="s">
        <v>195</v>
      </c>
      <c r="S40" s="6" t="s">
        <v>26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</row>
    <row r="41" spans="1:252" s="24" customFormat="1" ht="20" customHeight="1">
      <c r="A41" s="29">
        <v>31</v>
      </c>
      <c r="B41" s="1">
        <v>0.5</v>
      </c>
      <c r="C41" s="15" t="s">
        <v>20</v>
      </c>
      <c r="D41" s="6" t="s">
        <v>22</v>
      </c>
      <c r="E41" s="16">
        <v>42048</v>
      </c>
      <c r="F41" s="21" t="s">
        <v>103</v>
      </c>
      <c r="G41" s="6" t="s">
        <v>24</v>
      </c>
      <c r="H41" s="9">
        <v>2200</v>
      </c>
      <c r="I41" s="22" t="s">
        <v>104</v>
      </c>
      <c r="J41" s="13">
        <f t="shared" si="1"/>
        <v>40426</v>
      </c>
      <c r="K41" s="9">
        <v>1553</v>
      </c>
      <c r="L41" s="14">
        <v>40208.699999999997</v>
      </c>
      <c r="M41" s="14">
        <f>L41+1873.74</f>
        <v>42082.439999999995</v>
      </c>
      <c r="N41" s="14">
        <v>41673.620000000003</v>
      </c>
      <c r="O41" s="14">
        <f>M41-N41</f>
        <v>408.81999999999243</v>
      </c>
      <c r="P41" s="14">
        <v>50</v>
      </c>
      <c r="Q41" s="21">
        <f t="shared" si="4"/>
        <v>204.40999999999622</v>
      </c>
      <c r="R41" s="6" t="s">
        <v>105</v>
      </c>
      <c r="S41" s="6" t="s">
        <v>55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</row>
    <row r="42" spans="1:252" s="52" customFormat="1" ht="20" customHeight="1">
      <c r="A42" s="43">
        <v>32</v>
      </c>
      <c r="B42" s="44">
        <v>0.5</v>
      </c>
      <c r="C42" s="45" t="s">
        <v>20</v>
      </c>
      <c r="D42" s="46" t="s">
        <v>32</v>
      </c>
      <c r="E42" s="47">
        <v>41670</v>
      </c>
      <c r="F42" s="48" t="s">
        <v>106</v>
      </c>
      <c r="G42" s="46" t="s">
        <v>29</v>
      </c>
      <c r="H42" s="43">
        <v>589</v>
      </c>
      <c r="I42" s="49" t="s">
        <v>107</v>
      </c>
      <c r="J42" s="50">
        <f t="shared" si="1"/>
        <v>41015</v>
      </c>
      <c r="K42" s="43">
        <v>0</v>
      </c>
      <c r="L42" s="51">
        <v>0</v>
      </c>
      <c r="M42" s="51">
        <v>0</v>
      </c>
      <c r="N42" s="51">
        <v>-388.16</v>
      </c>
      <c r="O42" s="51">
        <v>-388.16</v>
      </c>
      <c r="P42" s="51">
        <v>50</v>
      </c>
      <c r="Q42" s="48">
        <f t="shared" si="4"/>
        <v>-194.08</v>
      </c>
      <c r="R42" s="46" t="s">
        <v>39</v>
      </c>
      <c r="S42" s="46" t="s">
        <v>26</v>
      </c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</row>
    <row r="43" spans="1:252" s="24" customFormat="1" ht="20" customHeight="1">
      <c r="A43" s="29">
        <v>33</v>
      </c>
      <c r="B43" s="1">
        <v>0.5</v>
      </c>
      <c r="C43" s="15" t="s">
        <v>31</v>
      </c>
      <c r="D43" s="6" t="s">
        <v>32</v>
      </c>
      <c r="E43" s="16">
        <v>42105</v>
      </c>
      <c r="F43" s="21" t="s">
        <v>289</v>
      </c>
      <c r="G43" s="6" t="s">
        <v>108</v>
      </c>
      <c r="H43" s="9">
        <v>250</v>
      </c>
      <c r="I43" s="22" t="s">
        <v>109</v>
      </c>
      <c r="J43" s="13">
        <f t="shared" si="1"/>
        <v>41265</v>
      </c>
      <c r="K43" s="9">
        <v>119</v>
      </c>
      <c r="L43" s="14">
        <v>1948.51</v>
      </c>
      <c r="M43" s="14">
        <v>1948.51</v>
      </c>
      <c r="N43" s="14">
        <v>3239.55</v>
      </c>
      <c r="O43" s="14">
        <f>M43-N43</f>
        <v>-1291.0400000000002</v>
      </c>
      <c r="P43" s="14">
        <v>50</v>
      </c>
      <c r="Q43" s="21">
        <f t="shared" si="4"/>
        <v>-645.5200000000001</v>
      </c>
      <c r="R43" s="6" t="s">
        <v>70</v>
      </c>
      <c r="S43" s="6" t="s">
        <v>26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</row>
    <row r="44" spans="1:252" s="24" customFormat="1" ht="20" customHeight="1">
      <c r="A44" s="29">
        <v>34</v>
      </c>
      <c r="B44" s="1">
        <v>0.5</v>
      </c>
      <c r="C44" s="15" t="s">
        <v>31</v>
      </c>
      <c r="D44" s="6" t="s">
        <v>21</v>
      </c>
      <c r="E44" s="16">
        <v>42101</v>
      </c>
      <c r="F44" s="21" t="s">
        <v>271</v>
      </c>
      <c r="G44" s="6" t="s">
        <v>305</v>
      </c>
      <c r="H44" s="9">
        <v>100</v>
      </c>
      <c r="I44" s="22" t="s">
        <v>111</v>
      </c>
      <c r="J44" s="13">
        <f t="shared" si="1"/>
        <v>41365</v>
      </c>
      <c r="K44" s="9">
        <v>60</v>
      </c>
      <c r="L44" s="14">
        <v>805.62</v>
      </c>
      <c r="M44" s="14">
        <v>805.62</v>
      </c>
      <c r="N44" s="14">
        <v>2059.1799999999998</v>
      </c>
      <c r="O44" s="14">
        <f>M44-N44</f>
        <v>-1253.56</v>
      </c>
      <c r="P44" s="14">
        <v>50</v>
      </c>
      <c r="Q44" s="21">
        <f t="shared" si="4"/>
        <v>-626.78</v>
      </c>
      <c r="R44" s="6" t="s">
        <v>39</v>
      </c>
      <c r="S44" s="6" t="s">
        <v>55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</row>
    <row r="45" spans="1:252" s="24" customFormat="1" ht="20" customHeight="1">
      <c r="A45" s="29">
        <v>35</v>
      </c>
      <c r="B45" s="1">
        <v>0.5</v>
      </c>
      <c r="C45" s="15" t="s">
        <v>31</v>
      </c>
      <c r="D45" s="6" t="s">
        <v>27</v>
      </c>
      <c r="E45" s="16">
        <v>41696</v>
      </c>
      <c r="F45" s="21" t="s">
        <v>249</v>
      </c>
      <c r="G45" s="6" t="s">
        <v>85</v>
      </c>
      <c r="H45" s="9">
        <v>300</v>
      </c>
      <c r="I45" s="22" t="s">
        <v>112</v>
      </c>
      <c r="J45" s="13">
        <f t="shared" si="1"/>
        <v>41665</v>
      </c>
      <c r="K45" s="9">
        <v>153</v>
      </c>
      <c r="L45" s="14">
        <v>2309.67</v>
      </c>
      <c r="M45" s="14">
        <v>2309.67</v>
      </c>
      <c r="N45" s="14">
        <v>3442.76</v>
      </c>
      <c r="O45" s="14">
        <f>M45-N45</f>
        <v>-1133.0900000000001</v>
      </c>
      <c r="P45" s="14">
        <v>50</v>
      </c>
      <c r="Q45" s="21">
        <f t="shared" si="4"/>
        <v>-566.54500000000007</v>
      </c>
      <c r="R45" s="6" t="s">
        <v>70</v>
      </c>
      <c r="S45" s="6" t="s">
        <v>55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</row>
    <row r="46" spans="1:252" s="52" customFormat="1" ht="20" customHeight="1">
      <c r="A46" s="43">
        <v>36</v>
      </c>
      <c r="B46" s="44">
        <v>0.5</v>
      </c>
      <c r="C46" s="45" t="s">
        <v>31</v>
      </c>
      <c r="D46" s="46" t="s">
        <v>75</v>
      </c>
      <c r="E46" s="47">
        <v>42067</v>
      </c>
      <c r="F46" s="48" t="s">
        <v>184</v>
      </c>
      <c r="G46" s="46" t="s">
        <v>33</v>
      </c>
      <c r="H46" s="43">
        <v>150</v>
      </c>
      <c r="I46" s="49">
        <v>13</v>
      </c>
      <c r="J46" s="50">
        <f t="shared" si="1"/>
        <v>41815</v>
      </c>
      <c r="K46" s="43"/>
      <c r="L46" s="51"/>
      <c r="M46" s="51"/>
      <c r="N46" s="51"/>
      <c r="O46" s="51"/>
      <c r="P46" s="51"/>
      <c r="Q46" s="48"/>
      <c r="R46" s="46" t="s">
        <v>42</v>
      </c>
      <c r="S46" s="46" t="s">
        <v>26</v>
      </c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</row>
    <row r="47" spans="1:252" s="24" customFormat="1" ht="20" customHeight="1">
      <c r="A47" s="29">
        <v>37</v>
      </c>
      <c r="B47" s="1">
        <v>0.25</v>
      </c>
      <c r="C47" s="15" t="s">
        <v>96</v>
      </c>
      <c r="D47" s="6" t="s">
        <v>22</v>
      </c>
      <c r="E47" s="16">
        <v>42027</v>
      </c>
      <c r="F47" s="21" t="s">
        <v>113</v>
      </c>
      <c r="G47" s="6" t="s">
        <v>24</v>
      </c>
      <c r="H47" s="9">
        <v>1500</v>
      </c>
      <c r="I47" s="22" t="s">
        <v>114</v>
      </c>
      <c r="J47" s="13">
        <f t="shared" si="1"/>
        <v>43315</v>
      </c>
      <c r="K47" s="9">
        <v>1137</v>
      </c>
      <c r="L47" s="14">
        <v>24494.44</v>
      </c>
      <c r="M47" s="14">
        <v>24494.44</v>
      </c>
      <c r="N47" s="14">
        <v>29894.5</v>
      </c>
      <c r="O47" s="14">
        <f>M47-N47</f>
        <v>-5400.0600000000013</v>
      </c>
      <c r="P47" s="14">
        <v>0.25</v>
      </c>
      <c r="Q47" s="21">
        <f>P47*O47</f>
        <v>-1350.0150000000003</v>
      </c>
      <c r="R47" s="6" t="s">
        <v>659</v>
      </c>
      <c r="S47" s="6" t="s">
        <v>99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</row>
    <row r="48" spans="1:252" s="24" customFormat="1" ht="20" customHeight="1">
      <c r="A48" s="29">
        <v>38</v>
      </c>
      <c r="B48" s="1">
        <v>0.5</v>
      </c>
      <c r="C48" s="15" t="s">
        <v>20</v>
      </c>
      <c r="D48" s="6" t="s">
        <v>75</v>
      </c>
      <c r="E48" s="16">
        <v>42018</v>
      </c>
      <c r="F48" s="21" t="s">
        <v>116</v>
      </c>
      <c r="G48" s="6" t="s">
        <v>29</v>
      </c>
      <c r="H48" s="9">
        <v>925</v>
      </c>
      <c r="I48" s="22" t="s">
        <v>115</v>
      </c>
      <c r="J48" s="13">
        <f t="shared" si="1"/>
        <v>44240</v>
      </c>
      <c r="K48" s="9">
        <v>659</v>
      </c>
      <c r="L48" s="14">
        <v>15379.05</v>
      </c>
      <c r="M48" s="14">
        <f>L48+855.4</f>
        <v>16234.449999999999</v>
      </c>
      <c r="N48" s="14">
        <v>17090.89</v>
      </c>
      <c r="O48" s="14">
        <f>M48-N48</f>
        <v>-856.44000000000051</v>
      </c>
      <c r="P48" s="14">
        <v>50</v>
      </c>
      <c r="Q48" s="21">
        <f>O48/2</f>
        <v>-428.22000000000025</v>
      </c>
      <c r="R48" s="6" t="s">
        <v>105</v>
      </c>
      <c r="S48" s="6" t="s">
        <v>26</v>
      </c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</row>
    <row r="49" spans="1:252" s="24" customFormat="1" ht="20" customHeight="1">
      <c r="A49" s="29">
        <v>39</v>
      </c>
      <c r="B49" s="1">
        <v>0.25</v>
      </c>
      <c r="C49" s="15" t="s">
        <v>96</v>
      </c>
      <c r="D49" s="6" t="s">
        <v>75</v>
      </c>
      <c r="E49" s="16">
        <v>42067</v>
      </c>
      <c r="F49" s="21" t="s">
        <v>117</v>
      </c>
      <c r="G49" s="6" t="s">
        <v>24</v>
      </c>
      <c r="H49" s="9">
        <v>2250</v>
      </c>
      <c r="I49" s="22" t="s">
        <v>30</v>
      </c>
      <c r="J49" s="13">
        <f t="shared" si="1"/>
        <v>46490</v>
      </c>
      <c r="K49" s="9">
        <v>1750</v>
      </c>
      <c r="L49" s="14">
        <v>43843.77</v>
      </c>
      <c r="M49" s="14">
        <v>43843.77</v>
      </c>
      <c r="N49" s="14">
        <v>42467.74</v>
      </c>
      <c r="O49" s="14">
        <f>M49-N49</f>
        <v>1376.0299999999988</v>
      </c>
      <c r="P49" s="14">
        <v>0.25</v>
      </c>
      <c r="Q49" s="21">
        <f>O49*P49</f>
        <v>344.00749999999971</v>
      </c>
      <c r="R49" s="6" t="s">
        <v>118</v>
      </c>
      <c r="S49" s="6" t="s">
        <v>99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</row>
    <row r="50" spans="1:252" s="24" customFormat="1" ht="20" customHeight="1">
      <c r="A50" s="29">
        <v>40</v>
      </c>
      <c r="B50" s="1">
        <v>0.25</v>
      </c>
      <c r="C50" s="15" t="s">
        <v>123</v>
      </c>
      <c r="D50" s="6" t="s">
        <v>22</v>
      </c>
      <c r="E50" s="16">
        <v>42034</v>
      </c>
      <c r="F50" s="21" t="s">
        <v>277</v>
      </c>
      <c r="G50" s="6" t="s">
        <v>120</v>
      </c>
      <c r="H50" s="9">
        <v>350</v>
      </c>
      <c r="I50" s="22" t="s">
        <v>121</v>
      </c>
      <c r="J50" s="13">
        <f t="shared" si="1"/>
        <v>46840</v>
      </c>
      <c r="K50" s="9">
        <v>254</v>
      </c>
      <c r="L50" s="14">
        <v>5880</v>
      </c>
      <c r="M50" s="14">
        <f>L50+531</f>
        <v>6411</v>
      </c>
      <c r="N50" s="14">
        <v>4566.17</v>
      </c>
      <c r="O50" s="14">
        <f>M50-N50</f>
        <v>1844.83</v>
      </c>
      <c r="P50" s="14">
        <v>50</v>
      </c>
      <c r="Q50" s="21">
        <v>307.47000000000003</v>
      </c>
      <c r="R50" s="6" t="s">
        <v>122</v>
      </c>
      <c r="S50" s="6" t="s">
        <v>83</v>
      </c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</row>
    <row r="51" spans="1:252" s="24" customFormat="1" ht="20" customHeight="1">
      <c r="A51" s="29">
        <v>41</v>
      </c>
      <c r="B51" s="1">
        <v>0.5</v>
      </c>
      <c r="C51" s="15" t="s">
        <v>20</v>
      </c>
      <c r="D51" s="6" t="s">
        <v>23</v>
      </c>
      <c r="E51" s="16">
        <v>42037</v>
      </c>
      <c r="F51" s="32" t="s">
        <v>660</v>
      </c>
      <c r="G51" s="6" t="s">
        <v>24</v>
      </c>
      <c r="H51" s="9">
        <v>2200</v>
      </c>
      <c r="I51" s="22">
        <v>45</v>
      </c>
      <c r="J51" s="13">
        <f t="shared" si="1"/>
        <v>49040</v>
      </c>
      <c r="K51" s="9"/>
      <c r="L51" s="14"/>
      <c r="M51" s="14"/>
      <c r="N51" s="14"/>
      <c r="O51" s="14"/>
      <c r="P51" s="14"/>
      <c r="Q51" s="21"/>
      <c r="R51" s="6" t="s">
        <v>42</v>
      </c>
      <c r="S51" s="6" t="s">
        <v>26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</row>
    <row r="52" spans="1:252" s="52" customFormat="1" ht="20" customHeight="1">
      <c r="A52" s="43">
        <v>42</v>
      </c>
      <c r="B52" s="44">
        <v>0.5</v>
      </c>
      <c r="C52" s="45" t="s">
        <v>31</v>
      </c>
      <c r="D52" s="46" t="s">
        <v>22</v>
      </c>
      <c r="E52" s="47">
        <v>42020</v>
      </c>
      <c r="F52" s="48" t="s">
        <v>124</v>
      </c>
      <c r="G52" s="46" t="s">
        <v>125</v>
      </c>
      <c r="H52" s="43">
        <v>120</v>
      </c>
      <c r="I52" s="49" t="s">
        <v>126</v>
      </c>
      <c r="J52" s="50">
        <f t="shared" si="1"/>
        <v>49160</v>
      </c>
      <c r="K52" s="43"/>
      <c r="L52" s="51"/>
      <c r="M52" s="51"/>
      <c r="N52" s="51"/>
      <c r="O52" s="51"/>
      <c r="P52" s="51"/>
      <c r="Q52" s="48"/>
      <c r="R52" s="46" t="s">
        <v>127</v>
      </c>
      <c r="S52" s="46" t="s">
        <v>83</v>
      </c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</row>
    <row r="53" spans="1:252" s="24" customFormat="1" ht="20" customHeight="1">
      <c r="A53" s="29">
        <v>43</v>
      </c>
      <c r="B53" s="1">
        <v>0.5</v>
      </c>
      <c r="C53" s="15" t="s">
        <v>31</v>
      </c>
      <c r="D53" s="6" t="s">
        <v>27</v>
      </c>
      <c r="E53" s="16">
        <v>42082</v>
      </c>
      <c r="F53" s="21" t="s">
        <v>179</v>
      </c>
      <c r="G53" s="6" t="s">
        <v>138</v>
      </c>
      <c r="H53" s="9">
        <v>400</v>
      </c>
      <c r="I53" s="22" t="s">
        <v>128</v>
      </c>
      <c r="J53" s="13">
        <f t="shared" si="1"/>
        <v>49560</v>
      </c>
      <c r="K53" s="9">
        <v>188</v>
      </c>
      <c r="L53" s="14">
        <v>2695.12</v>
      </c>
      <c r="M53" s="14">
        <v>2695.12</v>
      </c>
      <c r="N53" s="14">
        <v>3514.91</v>
      </c>
      <c r="O53" s="14">
        <f>M53-N53</f>
        <v>-819.79</v>
      </c>
      <c r="P53" s="14">
        <v>50</v>
      </c>
      <c r="Q53" s="21">
        <f>O53/2</f>
        <v>-409.89499999999998</v>
      </c>
      <c r="R53" s="6" t="s">
        <v>70</v>
      </c>
      <c r="S53" s="6" t="s">
        <v>55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</row>
    <row r="54" spans="1:252" s="24" customFormat="1" ht="20" customHeight="1">
      <c r="A54" s="29">
        <v>44</v>
      </c>
      <c r="B54" s="1">
        <v>0.33</v>
      </c>
      <c r="C54" s="15" t="s">
        <v>152</v>
      </c>
      <c r="D54" s="6" t="s">
        <v>75</v>
      </c>
      <c r="E54" s="16">
        <v>42102</v>
      </c>
      <c r="F54" s="21" t="s">
        <v>272</v>
      </c>
      <c r="G54" s="6" t="s">
        <v>129</v>
      </c>
      <c r="H54" s="9">
        <v>450</v>
      </c>
      <c r="I54" s="22">
        <v>20</v>
      </c>
      <c r="J54" s="13">
        <f t="shared" si="1"/>
        <v>50010</v>
      </c>
      <c r="K54" s="9">
        <v>402</v>
      </c>
      <c r="L54" s="14">
        <v>7308.33</v>
      </c>
      <c r="M54" s="14">
        <v>7308.33</v>
      </c>
      <c r="N54" s="14">
        <v>6510.17</v>
      </c>
      <c r="O54" s="14">
        <f>M54-N54</f>
        <v>798.15999999999985</v>
      </c>
      <c r="P54" s="14">
        <v>50</v>
      </c>
      <c r="Q54" s="21">
        <f>O54/2</f>
        <v>399.07999999999993</v>
      </c>
      <c r="R54" s="6" t="s">
        <v>130</v>
      </c>
      <c r="S54" s="6" t="s">
        <v>83</v>
      </c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</row>
    <row r="55" spans="1:252" s="24" customFormat="1" ht="20" customHeight="1">
      <c r="A55" s="29">
        <v>45</v>
      </c>
      <c r="B55" s="1">
        <v>0.25</v>
      </c>
      <c r="C55" s="15" t="s">
        <v>131</v>
      </c>
      <c r="D55" s="6" t="s">
        <v>22</v>
      </c>
      <c r="E55" s="16">
        <v>42042</v>
      </c>
      <c r="F55" s="21" t="s">
        <v>132</v>
      </c>
      <c r="G55" s="6" t="s">
        <v>24</v>
      </c>
      <c r="H55" s="9">
        <v>1750</v>
      </c>
      <c r="I55" s="22" t="s">
        <v>133</v>
      </c>
      <c r="J55" s="13">
        <f t="shared" si="1"/>
        <v>51760</v>
      </c>
      <c r="K55" s="9">
        <f>1214+65</f>
        <v>1279</v>
      </c>
      <c r="L55" s="14">
        <v>33655.15</v>
      </c>
      <c r="M55" s="14">
        <v>33655.15</v>
      </c>
      <c r="N55" s="14">
        <f>16328.38+19976</f>
        <v>36304.379999999997</v>
      </c>
      <c r="O55" s="14">
        <f>M55-N55</f>
        <v>-2649.2299999999959</v>
      </c>
      <c r="P55" s="14">
        <v>0.25</v>
      </c>
      <c r="Q55" s="21">
        <f>P55*O55</f>
        <v>-662.30749999999898</v>
      </c>
      <c r="R55" s="6" t="s">
        <v>134</v>
      </c>
      <c r="S55" s="6" t="s">
        <v>661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</row>
    <row r="56" spans="1:252" s="24" customFormat="1" ht="20" customHeight="1">
      <c r="A56" s="29">
        <v>46</v>
      </c>
      <c r="B56" s="1">
        <v>0.5</v>
      </c>
      <c r="C56" s="15" t="s">
        <v>31</v>
      </c>
      <c r="D56" s="6" t="s">
        <v>75</v>
      </c>
      <c r="E56" s="16">
        <v>42158</v>
      </c>
      <c r="F56" s="21" t="s">
        <v>137</v>
      </c>
      <c r="G56" s="6" t="s">
        <v>135</v>
      </c>
      <c r="H56" s="9">
        <v>620</v>
      </c>
      <c r="I56" s="22">
        <v>25</v>
      </c>
      <c r="J56" s="13">
        <f t="shared" si="1"/>
        <v>52380</v>
      </c>
      <c r="K56" s="9">
        <v>363</v>
      </c>
      <c r="L56" s="14">
        <v>7891.62</v>
      </c>
      <c r="M56" s="14">
        <v>7891.62</v>
      </c>
      <c r="N56" s="14">
        <v>10675.07</v>
      </c>
      <c r="O56" s="14">
        <f>M56-N56</f>
        <v>-2783.45</v>
      </c>
      <c r="P56" s="14">
        <v>50</v>
      </c>
      <c r="Q56" s="21">
        <f>O56/2</f>
        <v>-1391.7249999999999</v>
      </c>
      <c r="R56" s="6" t="s">
        <v>136</v>
      </c>
      <c r="S56" s="6" t="s">
        <v>80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</row>
    <row r="57" spans="1:252" s="42" customFormat="1" ht="26" customHeight="1">
      <c r="A57" s="33">
        <v>47</v>
      </c>
      <c r="B57" s="34">
        <v>0.5</v>
      </c>
      <c r="C57" s="35" t="s">
        <v>31</v>
      </c>
      <c r="D57" s="36" t="s">
        <v>139</v>
      </c>
      <c r="E57" s="37">
        <v>42085</v>
      </c>
      <c r="F57" s="38" t="s">
        <v>140</v>
      </c>
      <c r="G57" s="36" t="s">
        <v>85</v>
      </c>
      <c r="H57" s="39">
        <v>300</v>
      </c>
      <c r="I57" s="40" t="s">
        <v>34</v>
      </c>
      <c r="J57" s="13">
        <f t="shared" si="1"/>
        <v>52680</v>
      </c>
      <c r="K57" s="39">
        <v>285</v>
      </c>
      <c r="L57" s="41">
        <v>4539.51</v>
      </c>
      <c r="M57" s="41">
        <v>4539.51</v>
      </c>
      <c r="N57" s="41">
        <v>3879.03</v>
      </c>
      <c r="O57" s="41">
        <f t="shared" ref="O57:O64" si="5">M57-N57</f>
        <v>660.48</v>
      </c>
      <c r="P57" s="41">
        <v>50</v>
      </c>
      <c r="Q57" s="38">
        <f t="shared" ref="Q57:Q64" si="6">O57/2</f>
        <v>330.24</v>
      </c>
      <c r="R57" s="36" t="s">
        <v>64</v>
      </c>
      <c r="S57" s="36" t="s">
        <v>55</v>
      </c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</row>
    <row r="58" spans="1:252" s="42" customFormat="1" ht="26" customHeight="1">
      <c r="A58" s="33">
        <v>49</v>
      </c>
      <c r="B58" s="34">
        <v>0.5</v>
      </c>
      <c r="C58" s="35" t="s">
        <v>31</v>
      </c>
      <c r="D58" s="36" t="s">
        <v>32</v>
      </c>
      <c r="E58" s="37">
        <v>41733</v>
      </c>
      <c r="F58" s="38" t="s">
        <v>299</v>
      </c>
      <c r="G58" s="36" t="s">
        <v>143</v>
      </c>
      <c r="H58" s="39">
        <v>800</v>
      </c>
      <c r="I58" s="40" t="s">
        <v>53</v>
      </c>
      <c r="J58" s="13">
        <f t="shared" si="1"/>
        <v>53480</v>
      </c>
      <c r="K58" s="39">
        <v>814</v>
      </c>
      <c r="L58" s="41">
        <v>15811.94</v>
      </c>
      <c r="M58" s="41">
        <v>15811.94</v>
      </c>
      <c r="N58" s="41">
        <v>11829.03</v>
      </c>
      <c r="O58" s="41">
        <f>M58-N58</f>
        <v>3982.91</v>
      </c>
      <c r="P58" s="41">
        <v>50</v>
      </c>
      <c r="Q58" s="38">
        <f t="shared" si="6"/>
        <v>1991.4549999999999</v>
      </c>
      <c r="R58" s="36" t="s">
        <v>134</v>
      </c>
      <c r="S58" s="36" t="s">
        <v>83</v>
      </c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</row>
    <row r="59" spans="1:252" s="24" customFormat="1" ht="20" customHeight="1">
      <c r="A59" s="29">
        <v>49</v>
      </c>
      <c r="B59" s="1">
        <v>0.33</v>
      </c>
      <c r="C59" s="15" t="s">
        <v>31</v>
      </c>
      <c r="D59" s="6" t="s">
        <v>75</v>
      </c>
      <c r="E59" s="16">
        <v>42109</v>
      </c>
      <c r="F59" s="21" t="s">
        <v>335</v>
      </c>
      <c r="G59" s="6" t="s">
        <v>89</v>
      </c>
      <c r="H59" s="9">
        <v>900</v>
      </c>
      <c r="I59" s="22" t="s">
        <v>141</v>
      </c>
      <c r="J59" s="13">
        <f>J57+H59</f>
        <v>53580</v>
      </c>
      <c r="K59" s="9">
        <v>371</v>
      </c>
      <c r="L59" s="14">
        <v>7137.48</v>
      </c>
      <c r="M59" s="14">
        <v>7137.48</v>
      </c>
      <c r="N59" s="14">
        <v>12029.62</v>
      </c>
      <c r="O59" s="14">
        <f t="shared" si="5"/>
        <v>-4892.1400000000012</v>
      </c>
      <c r="P59" s="14">
        <v>50</v>
      </c>
      <c r="Q59" s="21">
        <f t="shared" si="6"/>
        <v>-2446.0700000000006</v>
      </c>
      <c r="R59" s="6" t="s">
        <v>130</v>
      </c>
      <c r="S59" s="6" t="s">
        <v>83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</row>
    <row r="60" spans="1:252" s="24" customFormat="1" ht="20" customHeight="1">
      <c r="A60" s="29">
        <v>50</v>
      </c>
      <c r="B60" s="1">
        <v>0.5</v>
      </c>
      <c r="C60" s="15" t="s">
        <v>31</v>
      </c>
      <c r="D60" s="6" t="s">
        <v>27</v>
      </c>
      <c r="E60" s="16">
        <v>42054</v>
      </c>
      <c r="F60" s="21" t="s">
        <v>247</v>
      </c>
      <c r="G60" s="6" t="s">
        <v>142</v>
      </c>
      <c r="H60" s="9">
        <v>450</v>
      </c>
      <c r="I60" s="22">
        <v>25</v>
      </c>
      <c r="J60" s="13">
        <f t="shared" si="1"/>
        <v>54030</v>
      </c>
      <c r="K60" s="9">
        <v>453</v>
      </c>
      <c r="L60" s="14">
        <v>9848.2199999999993</v>
      </c>
      <c r="M60" s="14">
        <v>9848.2199999999993</v>
      </c>
      <c r="N60" s="14">
        <v>9064.81</v>
      </c>
      <c r="O60" s="14">
        <f t="shared" si="5"/>
        <v>783.40999999999985</v>
      </c>
      <c r="P60" s="14">
        <v>50</v>
      </c>
      <c r="Q60" s="21">
        <f t="shared" si="6"/>
        <v>391.70499999999993</v>
      </c>
      <c r="R60" s="6" t="s">
        <v>42</v>
      </c>
      <c r="S60" s="6" t="s">
        <v>26</v>
      </c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</row>
    <row r="61" spans="1:252" s="24" customFormat="1" ht="20" customHeight="1">
      <c r="A61" s="29">
        <v>51</v>
      </c>
      <c r="B61" s="1">
        <v>0.5</v>
      </c>
      <c r="C61" s="15" t="s">
        <v>20</v>
      </c>
      <c r="D61" s="6" t="s">
        <v>22</v>
      </c>
      <c r="E61" s="16">
        <v>42097</v>
      </c>
      <c r="F61" s="21" t="s">
        <v>352</v>
      </c>
      <c r="G61" s="6" t="s">
        <v>29</v>
      </c>
      <c r="H61" s="9">
        <v>650</v>
      </c>
      <c r="I61" s="22" t="s">
        <v>40</v>
      </c>
      <c r="J61" s="13">
        <f t="shared" si="1"/>
        <v>54680</v>
      </c>
      <c r="K61" s="9">
        <v>573</v>
      </c>
      <c r="L61" s="14">
        <v>12639.72</v>
      </c>
      <c r="M61" s="14">
        <f>L61+691.02</f>
        <v>13330.74</v>
      </c>
      <c r="N61" s="14">
        <v>11917.83</v>
      </c>
      <c r="O61" s="14">
        <f t="shared" si="5"/>
        <v>1412.9099999999999</v>
      </c>
      <c r="P61" s="14">
        <v>50</v>
      </c>
      <c r="Q61" s="21">
        <f t="shared" si="6"/>
        <v>706.45499999999993</v>
      </c>
      <c r="R61" s="6" t="s">
        <v>70</v>
      </c>
      <c r="S61" s="6" t="s">
        <v>26</v>
      </c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</row>
    <row r="62" spans="1:252" s="24" customFormat="1" ht="20" customHeight="1">
      <c r="A62" s="29">
        <v>52</v>
      </c>
      <c r="B62" s="1">
        <v>0.5</v>
      </c>
      <c r="C62" s="15" t="s">
        <v>20</v>
      </c>
      <c r="D62" s="6" t="s">
        <v>227</v>
      </c>
      <c r="E62" s="16" t="s">
        <v>226</v>
      </c>
      <c r="F62" s="21" t="s">
        <v>236</v>
      </c>
      <c r="G62" s="6" t="s">
        <v>24</v>
      </c>
      <c r="H62" s="9">
        <v>4400</v>
      </c>
      <c r="I62" s="22" t="s">
        <v>37</v>
      </c>
      <c r="J62" s="13">
        <f t="shared" si="1"/>
        <v>59080</v>
      </c>
      <c r="K62" s="9">
        <v>3008</v>
      </c>
      <c r="L62" s="14">
        <v>72013.259999999995</v>
      </c>
      <c r="M62" s="14">
        <f>L62+4227.99</f>
        <v>76241.25</v>
      </c>
      <c r="N62" s="14">
        <v>67276.78</v>
      </c>
      <c r="O62" s="14">
        <f t="shared" si="5"/>
        <v>8964.4700000000012</v>
      </c>
      <c r="P62" s="14">
        <v>50</v>
      </c>
      <c r="Q62" s="21">
        <f t="shared" si="6"/>
        <v>4482.2350000000006</v>
      </c>
      <c r="R62" s="6" t="s">
        <v>42</v>
      </c>
      <c r="S62" s="6" t="s">
        <v>26</v>
      </c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</row>
    <row r="63" spans="1:252" s="24" customFormat="1" ht="20" customHeight="1">
      <c r="A63" s="29">
        <v>53</v>
      </c>
      <c r="B63" s="1">
        <v>0.5</v>
      </c>
      <c r="C63" s="15" t="s">
        <v>31</v>
      </c>
      <c r="D63" s="6" t="s">
        <v>27</v>
      </c>
      <c r="E63" s="16">
        <v>42026</v>
      </c>
      <c r="F63" s="21" t="s">
        <v>180</v>
      </c>
      <c r="G63" s="6" t="s">
        <v>142</v>
      </c>
      <c r="H63" s="9">
        <v>425</v>
      </c>
      <c r="I63" s="22" t="s">
        <v>57</v>
      </c>
      <c r="J63" s="13">
        <f t="shared" si="1"/>
        <v>59505</v>
      </c>
      <c r="K63" s="9">
        <v>22</v>
      </c>
      <c r="L63" s="14">
        <v>323.52</v>
      </c>
      <c r="M63" s="14">
        <v>323.52</v>
      </c>
      <c r="N63" s="14">
        <v>3891.34</v>
      </c>
      <c r="O63" s="14">
        <f t="shared" si="5"/>
        <v>-3567.82</v>
      </c>
      <c r="P63" s="14">
        <v>50</v>
      </c>
      <c r="Q63" s="21">
        <f t="shared" si="6"/>
        <v>-1783.91</v>
      </c>
      <c r="R63" s="6" t="s">
        <v>144</v>
      </c>
      <c r="S63" s="6" t="s">
        <v>83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</row>
    <row r="64" spans="1:252" s="24" customFormat="1" ht="20" customHeight="1">
      <c r="A64" s="29">
        <v>54</v>
      </c>
      <c r="B64" s="1">
        <v>0.33</v>
      </c>
      <c r="C64" s="15" t="s">
        <v>96</v>
      </c>
      <c r="D64" s="6" t="s">
        <v>75</v>
      </c>
      <c r="E64" s="16">
        <v>42088</v>
      </c>
      <c r="F64" s="21" t="s">
        <v>244</v>
      </c>
      <c r="G64" s="6" t="s">
        <v>89</v>
      </c>
      <c r="H64" s="9">
        <v>950</v>
      </c>
      <c r="I64" s="22" t="s">
        <v>145</v>
      </c>
      <c r="J64" s="13">
        <f t="shared" si="1"/>
        <v>60455</v>
      </c>
      <c r="K64" s="9">
        <v>567</v>
      </c>
      <c r="L64" s="14">
        <v>10697.11</v>
      </c>
      <c r="M64" s="14">
        <v>10697.11</v>
      </c>
      <c r="N64" s="14">
        <v>15382.47</v>
      </c>
      <c r="O64" s="14">
        <f t="shared" si="5"/>
        <v>-4685.3599999999988</v>
      </c>
      <c r="P64" s="14">
        <v>0.33333000000000002</v>
      </c>
      <c r="Q64" s="21">
        <f>O64*P64</f>
        <v>-1561.7710487999996</v>
      </c>
      <c r="R64" s="6" t="s">
        <v>127</v>
      </c>
      <c r="S64" s="6" t="s">
        <v>657</v>
      </c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</row>
    <row r="65" spans="1:252" s="24" customFormat="1" ht="20" customHeight="1">
      <c r="A65" s="29">
        <v>55</v>
      </c>
      <c r="B65" s="1">
        <v>0.5</v>
      </c>
      <c r="C65" s="15" t="s">
        <v>20</v>
      </c>
      <c r="D65" s="6" t="s">
        <v>32</v>
      </c>
      <c r="E65" s="16">
        <v>42084</v>
      </c>
      <c r="F65" s="21" t="s">
        <v>157</v>
      </c>
      <c r="G65" s="6" t="s">
        <v>29</v>
      </c>
      <c r="H65" s="9">
        <v>799</v>
      </c>
      <c r="I65" s="22">
        <v>20</v>
      </c>
      <c r="J65" s="13">
        <f t="shared" si="1"/>
        <v>61254</v>
      </c>
      <c r="K65" s="9">
        <v>799</v>
      </c>
      <c r="L65" s="14">
        <v>13894.61</v>
      </c>
      <c r="M65" s="14">
        <f>L65+1024.35</f>
        <v>14918.960000000001</v>
      </c>
      <c r="N65" s="14">
        <v>11532.36</v>
      </c>
      <c r="O65" s="14">
        <f>M65-N65</f>
        <v>3386.6000000000004</v>
      </c>
      <c r="P65" s="14">
        <v>50</v>
      </c>
      <c r="Q65" s="21">
        <f>O65/2</f>
        <v>1693.3000000000002</v>
      </c>
      <c r="R65" s="6" t="s">
        <v>130</v>
      </c>
      <c r="S65" s="6" t="s">
        <v>26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</row>
    <row r="66" spans="1:252" s="24" customFormat="1" ht="20" customHeight="1">
      <c r="A66" s="29">
        <v>56</v>
      </c>
      <c r="B66" s="1">
        <v>0.5</v>
      </c>
      <c r="C66" s="15" t="s">
        <v>20</v>
      </c>
      <c r="D66" s="6" t="s">
        <v>27</v>
      </c>
      <c r="E66" s="16">
        <v>42040</v>
      </c>
      <c r="F66" s="21" t="s">
        <v>177</v>
      </c>
      <c r="G66" s="6" t="s">
        <v>29</v>
      </c>
      <c r="H66" s="9">
        <v>800</v>
      </c>
      <c r="I66" s="22" t="s">
        <v>146</v>
      </c>
      <c r="J66" s="13">
        <f t="shared" si="1"/>
        <v>62054</v>
      </c>
      <c r="K66" s="9">
        <v>588</v>
      </c>
      <c r="L66" s="14">
        <v>13613.2</v>
      </c>
      <c r="M66" s="14">
        <f>L66+751.9</f>
        <v>14365.1</v>
      </c>
      <c r="N66" s="14">
        <v>15173.54</v>
      </c>
      <c r="O66" s="14">
        <f>M66-N66</f>
        <v>-808.44000000000051</v>
      </c>
      <c r="P66" s="14">
        <v>50</v>
      </c>
      <c r="Q66" s="21">
        <f>O66/2</f>
        <v>-404.22000000000025</v>
      </c>
      <c r="R66" s="6" t="s">
        <v>39</v>
      </c>
      <c r="S66" s="6" t="s">
        <v>26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</row>
    <row r="67" spans="1:252" s="24" customFormat="1" ht="20" customHeight="1">
      <c r="A67" s="29">
        <v>57</v>
      </c>
      <c r="B67" s="1">
        <v>0.5</v>
      </c>
      <c r="C67" s="15" t="s">
        <v>31</v>
      </c>
      <c r="D67" s="6" t="s">
        <v>22</v>
      </c>
      <c r="E67" s="16">
        <v>42048</v>
      </c>
      <c r="F67" s="21" t="s">
        <v>176</v>
      </c>
      <c r="G67" s="6" t="s">
        <v>135</v>
      </c>
      <c r="H67" s="9">
        <v>575</v>
      </c>
      <c r="I67" s="22" t="s">
        <v>38</v>
      </c>
      <c r="J67" s="13">
        <f t="shared" si="1"/>
        <v>62629</v>
      </c>
      <c r="K67" s="9">
        <v>575</v>
      </c>
      <c r="L67" s="14">
        <v>9004.5</v>
      </c>
      <c r="M67" s="14">
        <v>9004.5</v>
      </c>
      <c r="N67" s="14">
        <v>7064.44</v>
      </c>
      <c r="O67" s="14">
        <f>M67-N67</f>
        <v>1940.0600000000004</v>
      </c>
      <c r="P67" s="14">
        <v>50</v>
      </c>
      <c r="Q67" s="21">
        <f>O67/2</f>
        <v>970.0300000000002</v>
      </c>
      <c r="R67" s="6" t="s">
        <v>39</v>
      </c>
      <c r="S67" s="6" t="s">
        <v>80</v>
      </c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</row>
    <row r="68" spans="1:252" s="24" customFormat="1" ht="20" customHeight="1">
      <c r="A68" s="29">
        <v>58</v>
      </c>
      <c r="B68" s="1">
        <v>0.5</v>
      </c>
      <c r="C68" s="15" t="s">
        <v>20</v>
      </c>
      <c r="D68" s="6" t="s">
        <v>27</v>
      </c>
      <c r="E68" s="16">
        <v>42152</v>
      </c>
      <c r="F68" s="32" t="s">
        <v>231</v>
      </c>
      <c r="G68" s="6" t="s">
        <v>29</v>
      </c>
      <c r="H68" s="9">
        <v>513</v>
      </c>
      <c r="I68" s="22" t="s">
        <v>81</v>
      </c>
      <c r="J68" s="13">
        <f t="shared" si="1"/>
        <v>63142</v>
      </c>
      <c r="K68" s="9">
        <v>334</v>
      </c>
      <c r="L68" s="14">
        <v>6610.16</v>
      </c>
      <c r="M68" s="14">
        <f>L68+368.34</f>
        <v>6978.5</v>
      </c>
      <c r="N68" s="14">
        <v>6893.61</v>
      </c>
      <c r="O68" s="14">
        <f>M68-N68</f>
        <v>84.890000000000327</v>
      </c>
      <c r="P68" s="14">
        <v>50</v>
      </c>
      <c r="Q68" s="21">
        <f>O68/2</f>
        <v>42.445000000000164</v>
      </c>
      <c r="R68" s="6" t="s">
        <v>36</v>
      </c>
      <c r="S68" s="6" t="s">
        <v>26</v>
      </c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</row>
    <row r="69" spans="1:252" s="52" customFormat="1" ht="20" customHeight="1">
      <c r="A69" s="43">
        <v>59</v>
      </c>
      <c r="B69" s="44">
        <v>0.5</v>
      </c>
      <c r="C69" s="45" t="s">
        <v>31</v>
      </c>
      <c r="D69" s="46" t="s">
        <v>27</v>
      </c>
      <c r="E69" s="47">
        <v>42054</v>
      </c>
      <c r="F69" s="48" t="s">
        <v>149</v>
      </c>
      <c r="G69" s="46" t="s">
        <v>150</v>
      </c>
      <c r="H69" s="43">
        <v>120</v>
      </c>
      <c r="I69" s="49">
        <v>12</v>
      </c>
      <c r="J69" s="50">
        <f t="shared" si="1"/>
        <v>63262</v>
      </c>
      <c r="K69" s="43"/>
      <c r="L69" s="51"/>
      <c r="M69" s="51"/>
      <c r="N69" s="51">
        <v>121</v>
      </c>
      <c r="O69" s="51">
        <v>-121</v>
      </c>
      <c r="P69" s="51">
        <v>0.5</v>
      </c>
      <c r="Q69" s="48">
        <f>P69*O69</f>
        <v>-60.5</v>
      </c>
      <c r="R69" s="46" t="s">
        <v>151</v>
      </c>
      <c r="S69" s="46" t="s">
        <v>55</v>
      </c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</row>
    <row r="70" spans="1:252" s="24" customFormat="1" ht="20" customHeight="1">
      <c r="A70" s="29">
        <v>60</v>
      </c>
      <c r="B70" s="1">
        <v>0.5</v>
      </c>
      <c r="C70" s="15" t="s">
        <v>31</v>
      </c>
      <c r="D70" s="6" t="s">
        <v>22</v>
      </c>
      <c r="E70" s="16">
        <v>42083</v>
      </c>
      <c r="F70" s="21" t="s">
        <v>250</v>
      </c>
      <c r="G70" s="6" t="s">
        <v>135</v>
      </c>
      <c r="H70" s="9">
        <v>550</v>
      </c>
      <c r="I70" s="22" t="s">
        <v>40</v>
      </c>
      <c r="J70" s="13">
        <f t="shared" si="1"/>
        <v>63812</v>
      </c>
      <c r="K70" s="9">
        <v>463</v>
      </c>
      <c r="L70" s="14">
        <v>10360.549999999999</v>
      </c>
      <c r="M70" s="14">
        <v>10360.549999999999</v>
      </c>
      <c r="N70" s="14">
        <v>9390.58</v>
      </c>
      <c r="O70" s="14">
        <f>M70-N70</f>
        <v>969.96999999999935</v>
      </c>
      <c r="P70" s="14">
        <v>50</v>
      </c>
      <c r="Q70" s="21">
        <f>O70/2</f>
        <v>484.98499999999967</v>
      </c>
      <c r="R70" s="6" t="s">
        <v>64</v>
      </c>
      <c r="S70" s="6" t="s">
        <v>55</v>
      </c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</row>
    <row r="71" spans="1:252" s="24" customFormat="1" ht="20" customHeight="1">
      <c r="A71" s="29">
        <v>61</v>
      </c>
      <c r="B71" s="1">
        <v>0.5</v>
      </c>
      <c r="C71" s="15" t="s">
        <v>20</v>
      </c>
      <c r="D71" s="6" t="s">
        <v>32</v>
      </c>
      <c r="E71" s="16">
        <v>42098</v>
      </c>
      <c r="F71" s="21" t="s">
        <v>353</v>
      </c>
      <c r="G71" s="6" t="s">
        <v>29</v>
      </c>
      <c r="H71" s="9">
        <v>925</v>
      </c>
      <c r="I71" s="22" t="s">
        <v>40</v>
      </c>
      <c r="J71" s="13">
        <f t="shared" si="1"/>
        <v>64737</v>
      </c>
      <c r="K71" s="9">
        <v>924</v>
      </c>
      <c r="L71" s="14">
        <v>20087.759999999998</v>
      </c>
      <c r="M71" s="14">
        <f>L71+1184.17</f>
        <v>21271.93</v>
      </c>
      <c r="N71" s="14">
        <v>17093.439999999999</v>
      </c>
      <c r="O71" s="14">
        <f>M71-N71</f>
        <v>4178.4900000000016</v>
      </c>
      <c r="P71" s="14">
        <v>50</v>
      </c>
      <c r="Q71" s="21">
        <f>O71/2</f>
        <v>2089.2450000000008</v>
      </c>
      <c r="R71" s="6" t="s">
        <v>64</v>
      </c>
      <c r="S71" s="6" t="s">
        <v>55</v>
      </c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</row>
    <row r="72" spans="1:252" s="24" customFormat="1" ht="20" customHeight="1">
      <c r="A72" s="29">
        <v>62</v>
      </c>
      <c r="B72" s="1">
        <v>0.5</v>
      </c>
      <c r="C72" s="15" t="s">
        <v>20</v>
      </c>
      <c r="D72" s="6" t="s">
        <v>32</v>
      </c>
      <c r="E72" s="16">
        <v>42105</v>
      </c>
      <c r="F72" s="21" t="s">
        <v>354</v>
      </c>
      <c r="G72" s="6" t="s">
        <v>29</v>
      </c>
      <c r="H72" s="9">
        <v>875</v>
      </c>
      <c r="I72" s="22">
        <v>25</v>
      </c>
      <c r="J72" s="13">
        <f t="shared" si="1"/>
        <v>65612</v>
      </c>
      <c r="K72" s="9">
        <v>583</v>
      </c>
      <c r="L72" s="14">
        <v>12674.42</v>
      </c>
      <c r="M72" s="14">
        <f>L72+589.04</f>
        <v>13263.46</v>
      </c>
      <c r="N72" s="14">
        <v>12892.75</v>
      </c>
      <c r="O72" s="14">
        <f>M72-N72</f>
        <v>370.70999999999913</v>
      </c>
      <c r="P72" s="14">
        <v>50</v>
      </c>
      <c r="Q72" s="21">
        <f>O72/2</f>
        <v>185.35499999999956</v>
      </c>
      <c r="R72" s="6" t="s">
        <v>134</v>
      </c>
      <c r="S72" s="6" t="s">
        <v>55</v>
      </c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</row>
    <row r="73" spans="1:252" s="24" customFormat="1" ht="20" customHeight="1">
      <c r="A73" s="29">
        <v>63</v>
      </c>
      <c r="B73" s="1">
        <v>0.5</v>
      </c>
      <c r="C73" s="15" t="s">
        <v>31</v>
      </c>
      <c r="D73" s="6" t="s">
        <v>27</v>
      </c>
      <c r="E73" s="16">
        <v>42215</v>
      </c>
      <c r="F73" s="21" t="s">
        <v>432</v>
      </c>
      <c r="G73" s="6" t="s">
        <v>143</v>
      </c>
      <c r="H73" s="9">
        <v>800</v>
      </c>
      <c r="I73" s="22" t="s">
        <v>153</v>
      </c>
      <c r="J73" s="13">
        <f t="shared" si="1"/>
        <v>66412</v>
      </c>
      <c r="K73" s="9">
        <v>869</v>
      </c>
      <c r="L73" s="14">
        <v>17785.759999999998</v>
      </c>
      <c r="M73" s="14">
        <v>17785.759999999998</v>
      </c>
      <c r="N73" s="14">
        <v>14021.55</v>
      </c>
      <c r="O73" s="14">
        <v>2352.38</v>
      </c>
      <c r="P73" s="14">
        <v>50</v>
      </c>
      <c r="Q73" s="21">
        <f>O73/2</f>
        <v>1176.19</v>
      </c>
      <c r="R73" s="6" t="s">
        <v>130</v>
      </c>
      <c r="S73" s="6" t="s">
        <v>26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</row>
    <row r="74" spans="1:252" s="24" customFormat="1" ht="20" customHeight="1">
      <c r="A74" s="29">
        <v>64</v>
      </c>
      <c r="B74" s="1">
        <v>0.5</v>
      </c>
      <c r="C74" s="15" t="s">
        <v>20</v>
      </c>
      <c r="D74" s="6" t="s">
        <v>22</v>
      </c>
      <c r="E74" s="16" t="s">
        <v>164</v>
      </c>
      <c r="F74" s="21" t="s">
        <v>161</v>
      </c>
      <c r="G74" s="6" t="s">
        <v>24</v>
      </c>
      <c r="H74" s="9">
        <v>4552</v>
      </c>
      <c r="I74" s="22" t="s">
        <v>154</v>
      </c>
      <c r="J74" s="13">
        <f t="shared" si="1"/>
        <v>70964</v>
      </c>
      <c r="K74" s="9">
        <v>4552</v>
      </c>
      <c r="L74" s="14">
        <v>128867.32</v>
      </c>
      <c r="M74" s="14">
        <f>L74+6140.44</f>
        <v>135007.76</v>
      </c>
      <c r="N74" s="14">
        <v>115264.47</v>
      </c>
      <c r="O74" s="14">
        <f>M74-N74</f>
        <v>19743.290000000008</v>
      </c>
      <c r="P74" s="14">
        <v>50</v>
      </c>
      <c r="Q74" s="21">
        <f>O74/2</f>
        <v>9871.6450000000041</v>
      </c>
      <c r="R74" s="6" t="s">
        <v>39</v>
      </c>
      <c r="S74" s="6" t="s">
        <v>25</v>
      </c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</row>
    <row r="75" spans="1:252" s="24" customFormat="1" ht="20" customHeight="1">
      <c r="A75" s="29">
        <v>65</v>
      </c>
      <c r="B75" s="1">
        <v>0.5</v>
      </c>
      <c r="C75" s="15" t="s">
        <v>31</v>
      </c>
      <c r="D75" s="6" t="s">
        <v>21</v>
      </c>
      <c r="E75" s="16">
        <v>42059</v>
      </c>
      <c r="F75" s="38" t="s">
        <v>155</v>
      </c>
      <c r="G75" s="6" t="s">
        <v>110</v>
      </c>
      <c r="H75" s="9">
        <v>300</v>
      </c>
      <c r="I75" s="22" t="s">
        <v>38</v>
      </c>
      <c r="J75" s="13">
        <f t="shared" si="1"/>
        <v>71264</v>
      </c>
      <c r="K75" s="9">
        <v>117</v>
      </c>
      <c r="L75" s="14">
        <v>1873.74</v>
      </c>
      <c r="M75" s="14">
        <v>1873.74</v>
      </c>
      <c r="N75" s="14">
        <v>3420.48</v>
      </c>
      <c r="O75" s="14">
        <f t="shared" ref="O75:O83" si="7">M75-N75</f>
        <v>-1546.74</v>
      </c>
      <c r="P75" s="14">
        <v>50</v>
      </c>
      <c r="Q75" s="21">
        <f t="shared" ref="Q75:Q82" si="8">O75/2</f>
        <v>-773.37</v>
      </c>
      <c r="R75" s="6" t="s">
        <v>70</v>
      </c>
      <c r="S75" s="6" t="s">
        <v>55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</row>
    <row r="76" spans="1:252" s="24" customFormat="1" ht="20" customHeight="1">
      <c r="A76" s="29">
        <v>66</v>
      </c>
      <c r="B76" s="1">
        <v>0.5</v>
      </c>
      <c r="C76" s="15" t="s">
        <v>31</v>
      </c>
      <c r="D76" s="6" t="s">
        <v>139</v>
      </c>
      <c r="E76" s="16">
        <v>42085</v>
      </c>
      <c r="F76" s="21" t="s">
        <v>218</v>
      </c>
      <c r="G76" s="6" t="s">
        <v>33</v>
      </c>
      <c r="H76" s="9">
        <v>150</v>
      </c>
      <c r="I76" s="22">
        <v>10</v>
      </c>
      <c r="J76" s="13">
        <f t="shared" ref="J76:J119" si="9">J75+H76</f>
        <v>71414</v>
      </c>
      <c r="K76" s="9">
        <v>42</v>
      </c>
      <c r="L76" s="14">
        <v>365.4</v>
      </c>
      <c r="M76" s="14">
        <v>365.4</v>
      </c>
      <c r="N76" s="14">
        <v>979.09</v>
      </c>
      <c r="O76" s="14">
        <f t="shared" si="7"/>
        <v>-613.69000000000005</v>
      </c>
      <c r="P76" s="14">
        <v>50</v>
      </c>
      <c r="Q76" s="21">
        <f t="shared" si="8"/>
        <v>-306.84500000000003</v>
      </c>
      <c r="R76" s="6" t="s">
        <v>134</v>
      </c>
      <c r="S76" s="6" t="s">
        <v>80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</row>
    <row r="77" spans="1:252" s="24" customFormat="1" ht="20" customHeight="1">
      <c r="A77" s="29">
        <v>67</v>
      </c>
      <c r="B77" s="1">
        <v>0.5</v>
      </c>
      <c r="C77" s="15" t="s">
        <v>31</v>
      </c>
      <c r="D77" s="6" t="s">
        <v>139</v>
      </c>
      <c r="E77" s="16">
        <v>42092</v>
      </c>
      <c r="F77" s="21" t="s">
        <v>162</v>
      </c>
      <c r="G77" s="6" t="s">
        <v>156</v>
      </c>
      <c r="H77" s="9">
        <v>300</v>
      </c>
      <c r="I77" s="22" t="s">
        <v>86</v>
      </c>
      <c r="J77" s="13">
        <f t="shared" si="9"/>
        <v>71714</v>
      </c>
      <c r="K77" s="9">
        <v>182</v>
      </c>
      <c r="L77" s="14">
        <v>2221.1</v>
      </c>
      <c r="M77" s="14">
        <v>2221.1</v>
      </c>
      <c r="N77" s="14">
        <v>2906.3</v>
      </c>
      <c r="O77" s="14">
        <f t="shared" si="7"/>
        <v>-685.20000000000027</v>
      </c>
      <c r="P77" s="14">
        <v>50</v>
      </c>
      <c r="Q77" s="21">
        <f t="shared" si="8"/>
        <v>-342.60000000000014</v>
      </c>
      <c r="R77" s="6" t="s">
        <v>144</v>
      </c>
      <c r="S77" s="6" t="s">
        <v>80</v>
      </c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</row>
    <row r="78" spans="1:252" s="24" customFormat="1" ht="20" customHeight="1">
      <c r="A78" s="29">
        <v>68</v>
      </c>
      <c r="B78" s="1">
        <v>0.5</v>
      </c>
      <c r="C78" s="15" t="s">
        <v>31</v>
      </c>
      <c r="D78" s="6" t="s">
        <v>22</v>
      </c>
      <c r="E78" s="16">
        <v>42069</v>
      </c>
      <c r="F78" s="21" t="s">
        <v>270</v>
      </c>
      <c r="G78" s="6" t="s">
        <v>138</v>
      </c>
      <c r="H78" s="9">
        <v>400</v>
      </c>
      <c r="I78" s="22">
        <v>15</v>
      </c>
      <c r="J78" s="13">
        <f t="shared" si="9"/>
        <v>72114</v>
      </c>
      <c r="K78" s="9">
        <v>78</v>
      </c>
      <c r="L78" s="14">
        <v>1017.9</v>
      </c>
      <c r="M78" s="14">
        <v>1017.9</v>
      </c>
      <c r="N78" s="14">
        <v>2058.48</v>
      </c>
      <c r="O78" s="14">
        <f t="shared" si="7"/>
        <v>-1040.58</v>
      </c>
      <c r="P78" s="14">
        <v>50</v>
      </c>
      <c r="Q78" s="21">
        <f t="shared" si="8"/>
        <v>-520.29</v>
      </c>
      <c r="R78" s="6" t="s">
        <v>39</v>
      </c>
      <c r="S78" s="6" t="s">
        <v>55</v>
      </c>
      <c r="T78" s="21" t="s">
        <v>159</v>
      </c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</row>
    <row r="79" spans="1:252" s="24" customFormat="1" ht="20" customHeight="1">
      <c r="A79" s="29">
        <v>69</v>
      </c>
      <c r="B79" s="1">
        <v>0.5</v>
      </c>
      <c r="C79" s="15" t="s">
        <v>31</v>
      </c>
      <c r="D79" s="6" t="s">
        <v>139</v>
      </c>
      <c r="E79" s="16">
        <v>42085</v>
      </c>
      <c r="F79" s="21" t="s">
        <v>178</v>
      </c>
      <c r="G79" s="6" t="s">
        <v>24</v>
      </c>
      <c r="H79" s="9">
        <v>2200</v>
      </c>
      <c r="I79" s="22" t="s">
        <v>40</v>
      </c>
      <c r="J79" s="13">
        <f t="shared" si="9"/>
        <v>74314</v>
      </c>
      <c r="K79" s="9">
        <v>1898</v>
      </c>
      <c r="L79" s="14">
        <v>42186.84</v>
      </c>
      <c r="M79" s="14">
        <f>L79+2083.25</f>
        <v>44270.09</v>
      </c>
      <c r="N79" s="14">
        <v>43984.38</v>
      </c>
      <c r="O79" s="14">
        <f t="shared" si="7"/>
        <v>285.70999999999913</v>
      </c>
      <c r="P79" s="14">
        <v>50</v>
      </c>
      <c r="Q79" s="21">
        <f t="shared" si="8"/>
        <v>142.85499999999956</v>
      </c>
      <c r="R79" s="6" t="s">
        <v>122</v>
      </c>
      <c r="S79" s="6" t="s">
        <v>80</v>
      </c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</row>
    <row r="80" spans="1:252" s="24" customFormat="1" ht="20" customHeight="1">
      <c r="A80" s="29">
        <v>70</v>
      </c>
      <c r="B80" s="1">
        <v>0.5</v>
      </c>
      <c r="C80" s="15" t="s">
        <v>31</v>
      </c>
      <c r="D80" s="6" t="s">
        <v>32</v>
      </c>
      <c r="E80" s="16">
        <v>42084</v>
      </c>
      <c r="F80" s="21" t="s">
        <v>181</v>
      </c>
      <c r="G80" s="6" t="s">
        <v>163</v>
      </c>
      <c r="H80" s="9">
        <v>120</v>
      </c>
      <c r="I80" s="22">
        <v>15</v>
      </c>
      <c r="J80" s="13">
        <f t="shared" si="9"/>
        <v>74434</v>
      </c>
      <c r="K80" s="9">
        <v>70</v>
      </c>
      <c r="L80" s="14">
        <v>913.5</v>
      </c>
      <c r="M80" s="14">
        <v>913.5</v>
      </c>
      <c r="N80" s="14">
        <v>1304.52</v>
      </c>
      <c r="O80" s="14">
        <f t="shared" si="7"/>
        <v>-391.02</v>
      </c>
      <c r="P80" s="14">
        <v>50</v>
      </c>
      <c r="Q80" s="21">
        <f t="shared" si="8"/>
        <v>-195.51</v>
      </c>
      <c r="R80" s="6" t="s">
        <v>39</v>
      </c>
      <c r="S80" s="6" t="s">
        <v>55</v>
      </c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</row>
    <row r="81" spans="1:252" s="24" customFormat="1" ht="20" customHeight="1">
      <c r="A81" s="29">
        <v>71</v>
      </c>
      <c r="B81" s="1">
        <v>0.5</v>
      </c>
      <c r="C81" s="15" t="s">
        <v>31</v>
      </c>
      <c r="D81" s="53" t="s">
        <v>32</v>
      </c>
      <c r="E81" s="16">
        <v>42056</v>
      </c>
      <c r="F81" s="21" t="s">
        <v>165</v>
      </c>
      <c r="G81" s="6" t="s">
        <v>150</v>
      </c>
      <c r="H81" s="9">
        <v>120</v>
      </c>
      <c r="I81" s="22">
        <v>12</v>
      </c>
      <c r="J81" s="13">
        <f t="shared" si="9"/>
        <v>74554</v>
      </c>
      <c r="K81" s="9">
        <v>25</v>
      </c>
      <c r="L81" s="14">
        <v>261</v>
      </c>
      <c r="M81" s="14">
        <v>261</v>
      </c>
      <c r="N81" s="14">
        <v>999.01</v>
      </c>
      <c r="O81" s="14">
        <f t="shared" si="7"/>
        <v>-738.01</v>
      </c>
      <c r="P81" s="14">
        <v>50</v>
      </c>
      <c r="Q81" s="21">
        <f t="shared" si="8"/>
        <v>-369.005</v>
      </c>
      <c r="R81" s="6" t="s">
        <v>166</v>
      </c>
      <c r="S81" s="6" t="s">
        <v>55</v>
      </c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</row>
    <row r="82" spans="1:252" s="24" customFormat="1" ht="20" customHeight="1">
      <c r="A82" s="29">
        <v>72</v>
      </c>
      <c r="B82" s="1">
        <v>0.5</v>
      </c>
      <c r="C82" s="15" t="s">
        <v>31</v>
      </c>
      <c r="D82" s="53" t="s">
        <v>32</v>
      </c>
      <c r="E82" s="16">
        <v>42091</v>
      </c>
      <c r="F82" s="21" t="s">
        <v>258</v>
      </c>
      <c r="G82" s="6" t="s">
        <v>150</v>
      </c>
      <c r="H82" s="9">
        <v>120</v>
      </c>
      <c r="I82" s="22">
        <v>12</v>
      </c>
      <c r="J82" s="13">
        <f t="shared" si="9"/>
        <v>74674</v>
      </c>
      <c r="K82" s="9">
        <v>108</v>
      </c>
      <c r="L82" s="14">
        <v>1127.52</v>
      </c>
      <c r="M82" s="14">
        <v>1127.52</v>
      </c>
      <c r="N82" s="14">
        <v>1214.51</v>
      </c>
      <c r="O82" s="14">
        <f t="shared" si="7"/>
        <v>-86.990000000000009</v>
      </c>
      <c r="P82" s="14">
        <v>50</v>
      </c>
      <c r="Q82" s="21">
        <f t="shared" si="8"/>
        <v>-43.495000000000005</v>
      </c>
      <c r="R82" s="6" t="s">
        <v>130</v>
      </c>
      <c r="S82" s="6" t="s">
        <v>55</v>
      </c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</row>
    <row r="83" spans="1:252" s="24" customFormat="1" ht="20" customHeight="1">
      <c r="A83" s="29">
        <v>73</v>
      </c>
      <c r="B83" s="1">
        <v>0.25</v>
      </c>
      <c r="C83" s="15" t="s">
        <v>167</v>
      </c>
      <c r="D83" s="53" t="s">
        <v>23</v>
      </c>
      <c r="E83" s="16">
        <v>42114</v>
      </c>
      <c r="F83" s="21" t="s">
        <v>414</v>
      </c>
      <c r="G83" s="6" t="s">
        <v>168</v>
      </c>
      <c r="H83" s="9">
        <v>650</v>
      </c>
      <c r="I83" s="22" t="s">
        <v>169</v>
      </c>
      <c r="J83" s="13">
        <f t="shared" si="9"/>
        <v>75324</v>
      </c>
      <c r="K83" s="9">
        <v>448</v>
      </c>
      <c r="L83" s="14">
        <v>12956.72</v>
      </c>
      <c r="M83" s="14">
        <v>12956.72</v>
      </c>
      <c r="N83" s="14">
        <v>12287.04</v>
      </c>
      <c r="O83" s="14">
        <f t="shared" si="7"/>
        <v>669.67999999999847</v>
      </c>
      <c r="P83" s="14">
        <v>25</v>
      </c>
      <c r="Q83" s="21">
        <v>167.42</v>
      </c>
      <c r="R83" s="6" t="s">
        <v>87</v>
      </c>
      <c r="S83" s="6" t="s">
        <v>171</v>
      </c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</row>
    <row r="84" spans="1:252" s="24" customFormat="1" ht="20" customHeight="1">
      <c r="A84" s="29">
        <v>74</v>
      </c>
      <c r="B84" s="1">
        <v>0.5</v>
      </c>
      <c r="C84" s="15" t="s">
        <v>20</v>
      </c>
      <c r="D84" s="53" t="s">
        <v>75</v>
      </c>
      <c r="E84" s="16">
        <v>42130</v>
      </c>
      <c r="F84" s="21" t="s">
        <v>223</v>
      </c>
      <c r="G84" s="6" t="s">
        <v>24</v>
      </c>
      <c r="H84" s="9">
        <v>2200</v>
      </c>
      <c r="I84" s="22">
        <v>35</v>
      </c>
      <c r="J84" s="13">
        <f t="shared" si="9"/>
        <v>77524</v>
      </c>
      <c r="K84" s="9">
        <v>2216</v>
      </c>
      <c r="L84" s="14">
        <v>67455.039999999994</v>
      </c>
      <c r="M84" s="14">
        <f>L84+3013.85</f>
        <v>70468.89</v>
      </c>
      <c r="N84" s="14">
        <v>58191.99</v>
      </c>
      <c r="O84" s="14">
        <f>M84-N84</f>
        <v>12276.900000000001</v>
      </c>
      <c r="P84" s="14">
        <v>50</v>
      </c>
      <c r="Q84" s="21">
        <f>O84/2</f>
        <v>6138.4500000000007</v>
      </c>
      <c r="R84" s="6" t="s">
        <v>170</v>
      </c>
      <c r="S84" s="6" t="s">
        <v>26</v>
      </c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</row>
    <row r="85" spans="1:252" s="24" customFormat="1" ht="20" customHeight="1">
      <c r="A85" s="29">
        <v>75</v>
      </c>
      <c r="B85" s="1">
        <v>0.5</v>
      </c>
      <c r="C85" s="15" t="s">
        <v>20</v>
      </c>
      <c r="D85" s="53" t="s">
        <v>22</v>
      </c>
      <c r="E85" s="16">
        <v>42216</v>
      </c>
      <c r="F85" s="21" t="s">
        <v>464</v>
      </c>
      <c r="G85" s="6" t="s">
        <v>24</v>
      </c>
      <c r="H85" s="9">
        <v>2200</v>
      </c>
      <c r="I85" s="22" t="s">
        <v>133</v>
      </c>
      <c r="J85" s="13">
        <f t="shared" si="9"/>
        <v>79724</v>
      </c>
      <c r="K85" s="9">
        <v>2163</v>
      </c>
      <c r="L85" s="14">
        <v>56628.42</v>
      </c>
      <c r="M85" s="14">
        <f>L85+2488.86</f>
        <v>59117.279999999999</v>
      </c>
      <c r="N85" s="14">
        <v>51009.42</v>
      </c>
      <c r="O85" s="14">
        <f>M85-N85</f>
        <v>8107.8600000000006</v>
      </c>
      <c r="P85" s="14">
        <v>50</v>
      </c>
      <c r="Q85" s="21">
        <f>O85/2</f>
        <v>4053.9300000000003</v>
      </c>
      <c r="R85" s="6" t="s">
        <v>70</v>
      </c>
      <c r="S85" s="6" t="s">
        <v>26</v>
      </c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</row>
    <row r="86" spans="1:252" s="24" customFormat="1" ht="20" customHeight="1">
      <c r="A86" s="29">
        <v>76</v>
      </c>
      <c r="B86" s="1">
        <v>0.5</v>
      </c>
      <c r="C86" s="15" t="s">
        <v>20</v>
      </c>
      <c r="D86" s="53" t="s">
        <v>32</v>
      </c>
      <c r="E86" s="16">
        <v>42168</v>
      </c>
      <c r="F86" s="21" t="s">
        <v>373</v>
      </c>
      <c r="G86" s="6" t="s">
        <v>29</v>
      </c>
      <c r="H86" s="9">
        <v>925</v>
      </c>
      <c r="I86" s="22">
        <v>25</v>
      </c>
      <c r="J86" s="13">
        <f t="shared" si="9"/>
        <v>80649</v>
      </c>
      <c r="K86" s="9">
        <v>693</v>
      </c>
      <c r="L86" s="14">
        <v>15065.82</v>
      </c>
      <c r="M86" s="14">
        <f>L86+904.11</f>
        <v>15969.93</v>
      </c>
      <c r="N86" s="14">
        <v>16673</v>
      </c>
      <c r="O86" s="14">
        <f>M86-N86</f>
        <v>-703.06999999999971</v>
      </c>
      <c r="P86" s="14">
        <v>50</v>
      </c>
      <c r="Q86" s="21">
        <f>O86/2</f>
        <v>-351.53499999999985</v>
      </c>
      <c r="R86" s="6" t="s">
        <v>70</v>
      </c>
      <c r="S86" s="6" t="s">
        <v>26</v>
      </c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</row>
    <row r="87" spans="1:252" s="24" customFormat="1" ht="20" customHeight="1">
      <c r="A87" s="29">
        <v>77</v>
      </c>
      <c r="B87" s="1">
        <v>0.5</v>
      </c>
      <c r="C87" s="15" t="s">
        <v>20</v>
      </c>
      <c r="D87" s="53" t="s">
        <v>75</v>
      </c>
      <c r="E87" s="16">
        <v>42158</v>
      </c>
      <c r="F87" s="21" t="s">
        <v>262</v>
      </c>
      <c r="G87" s="6" t="s">
        <v>29</v>
      </c>
      <c r="H87" s="9">
        <v>800</v>
      </c>
      <c r="I87" s="22">
        <v>30</v>
      </c>
      <c r="J87" s="13">
        <f t="shared" si="9"/>
        <v>81449</v>
      </c>
      <c r="K87" s="9">
        <v>453</v>
      </c>
      <c r="L87" s="14">
        <v>11823.3</v>
      </c>
      <c r="M87" s="14">
        <f>L87+560.12+310</f>
        <v>12693.42</v>
      </c>
      <c r="N87" s="14">
        <v>13135.8</v>
      </c>
      <c r="O87" s="14">
        <f>M87-N87</f>
        <v>-442.3799999999992</v>
      </c>
      <c r="P87" s="14">
        <v>50</v>
      </c>
      <c r="Q87" s="21">
        <f>O87/2</f>
        <v>-221.1899999999996</v>
      </c>
      <c r="R87" s="6" t="s">
        <v>182</v>
      </c>
      <c r="S87" s="6" t="s">
        <v>26</v>
      </c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</row>
    <row r="88" spans="1:252" s="24" customFormat="1" ht="20" customHeight="1">
      <c r="A88" s="29">
        <v>78</v>
      </c>
      <c r="B88" s="1">
        <v>0.33</v>
      </c>
      <c r="C88" s="15" t="s">
        <v>185</v>
      </c>
      <c r="D88" s="53" t="s">
        <v>32</v>
      </c>
      <c r="E88" s="16">
        <v>42154</v>
      </c>
      <c r="F88" s="21" t="s">
        <v>363</v>
      </c>
      <c r="G88" s="6" t="s">
        <v>186</v>
      </c>
      <c r="H88" s="9">
        <v>450</v>
      </c>
      <c r="I88" s="22" t="s">
        <v>187</v>
      </c>
      <c r="J88" s="13">
        <f t="shared" si="9"/>
        <v>81899</v>
      </c>
      <c r="K88" s="9">
        <v>549</v>
      </c>
      <c r="L88" s="14">
        <v>8763.9</v>
      </c>
      <c r="M88" s="14">
        <v>8763.9</v>
      </c>
      <c r="N88" s="14">
        <v>5913.12</v>
      </c>
      <c r="O88" s="14">
        <v>1181.54</v>
      </c>
      <c r="P88" s="14">
        <v>50</v>
      </c>
      <c r="Q88" s="21">
        <f>O88/2</f>
        <v>590.77</v>
      </c>
      <c r="R88" s="6" t="s">
        <v>130</v>
      </c>
      <c r="S88" s="6" t="s">
        <v>83</v>
      </c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</row>
    <row r="89" spans="1:252" s="24" customFormat="1" ht="20" customHeight="1">
      <c r="A89" s="29">
        <v>79</v>
      </c>
      <c r="B89" s="1">
        <v>0.33</v>
      </c>
      <c r="C89" s="15" t="s">
        <v>188</v>
      </c>
      <c r="D89" s="53" t="s">
        <v>22</v>
      </c>
      <c r="E89" s="16">
        <v>42132</v>
      </c>
      <c r="F89" s="21" t="s">
        <v>189</v>
      </c>
      <c r="G89" s="6" t="s">
        <v>24</v>
      </c>
      <c r="H89" s="9">
        <v>2200</v>
      </c>
      <c r="I89" s="22" t="s">
        <v>45</v>
      </c>
      <c r="J89" s="13">
        <f t="shared" si="9"/>
        <v>84099</v>
      </c>
      <c r="K89" s="9">
        <v>2263</v>
      </c>
      <c r="L89" s="14">
        <v>83679.72</v>
      </c>
      <c r="M89" s="14">
        <f>L89+2806.75</f>
        <v>86486.47</v>
      </c>
      <c r="N89" s="14">
        <v>72552.11</v>
      </c>
      <c r="O89" s="14">
        <f>M89-N89</f>
        <v>13934.36</v>
      </c>
      <c r="P89" s="14">
        <v>33</v>
      </c>
      <c r="Q89" s="21">
        <v>5112.58</v>
      </c>
      <c r="R89" s="6" t="s">
        <v>182</v>
      </c>
      <c r="S89" s="6" t="s">
        <v>25</v>
      </c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</row>
    <row r="90" spans="1:252" s="24" customFormat="1" ht="20" customHeight="1">
      <c r="A90" s="29">
        <v>80</v>
      </c>
      <c r="B90" s="1">
        <v>0.5</v>
      </c>
      <c r="C90" s="15" t="s">
        <v>20</v>
      </c>
      <c r="D90" s="53" t="s">
        <v>22</v>
      </c>
      <c r="E90" s="16">
        <v>42104</v>
      </c>
      <c r="F90" s="21" t="s">
        <v>300</v>
      </c>
      <c r="G90" s="6" t="s">
        <v>67</v>
      </c>
      <c r="H90" s="9">
        <v>2202</v>
      </c>
      <c r="I90" s="22" t="s">
        <v>190</v>
      </c>
      <c r="J90" s="13">
        <f t="shared" si="9"/>
        <v>86301</v>
      </c>
      <c r="K90" s="9">
        <v>2230</v>
      </c>
      <c r="L90" s="14">
        <v>99867.78</v>
      </c>
      <c r="M90" s="14">
        <f>L90+3418.7</f>
        <v>103286.48</v>
      </c>
      <c r="N90" s="14">
        <v>93553.17</v>
      </c>
      <c r="O90" s="14">
        <f>M90-N90</f>
        <v>9733.3099999999977</v>
      </c>
      <c r="P90" s="14">
        <v>50</v>
      </c>
      <c r="Q90" s="21">
        <f>O90/2</f>
        <v>4866.6549999999988</v>
      </c>
      <c r="R90" s="6" t="s">
        <v>70</v>
      </c>
      <c r="S90" s="6" t="s">
        <v>26</v>
      </c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</row>
    <row r="91" spans="1:252" s="24" customFormat="1" ht="20" customHeight="1">
      <c r="A91" s="29">
        <v>81</v>
      </c>
      <c r="B91" s="1">
        <v>0.35</v>
      </c>
      <c r="C91" s="15" t="s">
        <v>198</v>
      </c>
      <c r="D91" s="53" t="s">
        <v>22</v>
      </c>
      <c r="E91" s="16">
        <v>42160</v>
      </c>
      <c r="F91" s="21" t="s">
        <v>222</v>
      </c>
      <c r="G91" s="6" t="s">
        <v>24</v>
      </c>
      <c r="H91" s="9">
        <v>2200</v>
      </c>
      <c r="I91" s="22" t="s">
        <v>81</v>
      </c>
      <c r="J91" s="13">
        <f t="shared" si="9"/>
        <v>88501</v>
      </c>
      <c r="K91" s="9">
        <v>1336</v>
      </c>
      <c r="L91" s="14">
        <v>26386.39</v>
      </c>
      <c r="M91" s="14">
        <f>L91+1574.91</f>
        <v>27961.3</v>
      </c>
      <c r="N91" s="14">
        <v>26550.45</v>
      </c>
      <c r="O91" s="14">
        <f>M91-N91</f>
        <v>1410.8499999999985</v>
      </c>
      <c r="P91" s="14">
        <v>35</v>
      </c>
      <c r="Q91" s="21">
        <v>730.03</v>
      </c>
      <c r="R91" s="6" t="s">
        <v>130</v>
      </c>
      <c r="S91" s="6" t="s">
        <v>26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</row>
    <row r="92" spans="1:252" s="24" customFormat="1" ht="20" customHeight="1">
      <c r="A92" s="29">
        <v>82</v>
      </c>
      <c r="B92" s="1">
        <v>0.5</v>
      </c>
      <c r="C92" s="15" t="s">
        <v>31</v>
      </c>
      <c r="D92" s="53" t="s">
        <v>23</v>
      </c>
      <c r="E92" s="16">
        <v>42128</v>
      </c>
      <c r="F92" s="21" t="s">
        <v>285</v>
      </c>
      <c r="G92" s="6" t="s">
        <v>85</v>
      </c>
      <c r="H92" s="9">
        <v>300</v>
      </c>
      <c r="I92" s="22" t="s">
        <v>191</v>
      </c>
      <c r="J92" s="13">
        <f t="shared" si="9"/>
        <v>88801</v>
      </c>
      <c r="K92" s="9">
        <v>310</v>
      </c>
      <c r="L92" s="14">
        <v>4478.8999999999996</v>
      </c>
      <c r="M92" s="14">
        <v>4478.8999999999996</v>
      </c>
      <c r="N92" s="14">
        <v>2413.4499999999998</v>
      </c>
      <c r="O92" s="14">
        <v>617.53</v>
      </c>
      <c r="P92" s="14">
        <v>50</v>
      </c>
      <c r="Q92" s="21">
        <f>O92/2</f>
        <v>308.76499999999999</v>
      </c>
      <c r="R92" s="6" t="s">
        <v>70</v>
      </c>
      <c r="S92" s="6" t="s">
        <v>55</v>
      </c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</row>
    <row r="93" spans="1:252" s="24" customFormat="1" ht="20" customHeight="1">
      <c r="A93" s="29">
        <v>83</v>
      </c>
      <c r="B93" s="1">
        <v>0.33</v>
      </c>
      <c r="C93" s="15" t="s">
        <v>152</v>
      </c>
      <c r="D93" s="53" t="s">
        <v>75</v>
      </c>
      <c r="E93" s="16">
        <v>42067</v>
      </c>
      <c r="F93" s="21" t="s">
        <v>192</v>
      </c>
      <c r="G93" s="6" t="s">
        <v>85</v>
      </c>
      <c r="H93" s="9">
        <v>300</v>
      </c>
      <c r="I93" s="22">
        <v>18</v>
      </c>
      <c r="J93" s="13">
        <f t="shared" si="9"/>
        <v>89101</v>
      </c>
      <c r="K93" s="9">
        <v>31</v>
      </c>
      <c r="L93" s="14">
        <v>485.46</v>
      </c>
      <c r="M93" s="14">
        <v>485.46</v>
      </c>
      <c r="N93" s="14">
        <v>3222.36</v>
      </c>
      <c r="O93" s="14">
        <f t="shared" ref="O93:O99" si="10">M93-N93</f>
        <v>-2736.9</v>
      </c>
      <c r="P93" s="14">
        <v>33</v>
      </c>
      <c r="Q93" s="21">
        <v>-905.2</v>
      </c>
      <c r="R93" s="6" t="s">
        <v>193</v>
      </c>
      <c r="S93" s="6" t="s">
        <v>83</v>
      </c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</row>
    <row r="94" spans="1:252" s="24" customFormat="1" ht="20" customHeight="1">
      <c r="A94" s="29">
        <v>84</v>
      </c>
      <c r="B94" s="1">
        <v>0.5</v>
      </c>
      <c r="C94" s="15" t="s">
        <v>20</v>
      </c>
      <c r="D94" s="53" t="s">
        <v>22</v>
      </c>
      <c r="E94" s="16">
        <v>42146</v>
      </c>
      <c r="F94" s="21" t="s">
        <v>302</v>
      </c>
      <c r="G94" s="6" t="s">
        <v>29</v>
      </c>
      <c r="H94" s="9">
        <v>950</v>
      </c>
      <c r="I94" s="22" t="s">
        <v>107</v>
      </c>
      <c r="J94" s="13">
        <f t="shared" si="9"/>
        <v>90051</v>
      </c>
      <c r="K94" s="9">
        <v>617</v>
      </c>
      <c r="L94" s="14">
        <v>18929.38</v>
      </c>
      <c r="M94" s="14">
        <f>L94+821.92</f>
        <v>19751.3</v>
      </c>
      <c r="N94" s="14">
        <v>25330.29</v>
      </c>
      <c r="O94" s="14">
        <f t="shared" si="10"/>
        <v>-5578.9900000000016</v>
      </c>
      <c r="P94" s="14">
        <v>50</v>
      </c>
      <c r="Q94" s="21">
        <f>O94/2</f>
        <v>-2789.4950000000008</v>
      </c>
      <c r="R94" s="6" t="s">
        <v>70</v>
      </c>
      <c r="S94" s="6" t="s">
        <v>26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</row>
    <row r="95" spans="1:252" s="24" customFormat="1" ht="20" customHeight="1">
      <c r="A95" s="29">
        <v>85</v>
      </c>
      <c r="B95" s="1">
        <v>0.5</v>
      </c>
      <c r="C95" s="15" t="s">
        <v>20</v>
      </c>
      <c r="D95" s="53" t="s">
        <v>27</v>
      </c>
      <c r="E95" s="16">
        <v>42131</v>
      </c>
      <c r="F95" s="21" t="s">
        <v>194</v>
      </c>
      <c r="G95" s="6" t="s">
        <v>24</v>
      </c>
      <c r="H95" s="9">
        <v>2200</v>
      </c>
      <c r="I95" s="22" t="s">
        <v>197</v>
      </c>
      <c r="J95" s="13">
        <f t="shared" si="9"/>
        <v>92251</v>
      </c>
      <c r="K95" s="9">
        <v>1890</v>
      </c>
      <c r="L95" s="14">
        <v>57714.3</v>
      </c>
      <c r="M95" s="14">
        <f>L95+2520.01</f>
        <v>60234.310000000005</v>
      </c>
      <c r="N95" s="14">
        <v>53161.88</v>
      </c>
      <c r="O95" s="14">
        <f t="shared" si="10"/>
        <v>7072.4300000000076</v>
      </c>
      <c r="P95" s="14">
        <v>50</v>
      </c>
      <c r="Q95" s="21">
        <f>O95/2</f>
        <v>3536.2150000000038</v>
      </c>
      <c r="R95" s="6" t="s">
        <v>195</v>
      </c>
      <c r="S95" s="6" t="s">
        <v>26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</row>
    <row r="96" spans="1:252" s="24" customFormat="1" ht="20" customHeight="1">
      <c r="A96" s="29">
        <v>86</v>
      </c>
      <c r="B96" s="1">
        <v>0.5</v>
      </c>
      <c r="C96" s="15" t="s">
        <v>31</v>
      </c>
      <c r="D96" s="53" t="s">
        <v>75</v>
      </c>
      <c r="E96" s="16">
        <v>42249</v>
      </c>
      <c r="F96" s="21" t="s">
        <v>554</v>
      </c>
      <c r="G96" s="6" t="s">
        <v>183</v>
      </c>
      <c r="H96" s="9">
        <v>550</v>
      </c>
      <c r="I96" s="22" t="s">
        <v>196</v>
      </c>
      <c r="J96" s="13">
        <f t="shared" si="9"/>
        <v>92801</v>
      </c>
      <c r="K96" s="9">
        <v>520</v>
      </c>
      <c r="L96" s="14">
        <v>9818.9</v>
      </c>
      <c r="M96" s="14">
        <v>9818.9</v>
      </c>
      <c r="N96" s="14">
        <v>8530.2999999999993</v>
      </c>
      <c r="O96" s="14">
        <f t="shared" si="10"/>
        <v>1288.6000000000004</v>
      </c>
      <c r="P96" s="14">
        <v>50</v>
      </c>
      <c r="Q96" s="21">
        <f>O96/2</f>
        <v>644.30000000000018</v>
      </c>
      <c r="R96" s="6" t="s">
        <v>134</v>
      </c>
      <c r="S96" s="6" t="s">
        <v>55</v>
      </c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</row>
    <row r="97" spans="1:252" s="24" customFormat="1" ht="20" customHeight="1">
      <c r="A97" s="29">
        <v>87</v>
      </c>
      <c r="B97" s="1">
        <v>0.33</v>
      </c>
      <c r="C97" s="15" t="s">
        <v>201</v>
      </c>
      <c r="D97" s="53" t="s">
        <v>32</v>
      </c>
      <c r="E97" s="16">
        <v>42140</v>
      </c>
      <c r="F97" s="21" t="s">
        <v>338</v>
      </c>
      <c r="G97" s="6" t="s">
        <v>29</v>
      </c>
      <c r="H97" s="9">
        <v>775</v>
      </c>
      <c r="I97" s="22">
        <v>30</v>
      </c>
      <c r="J97" s="13">
        <f t="shared" si="9"/>
        <v>93576</v>
      </c>
      <c r="K97" s="9">
        <v>421</v>
      </c>
      <c r="L97" s="14">
        <v>10035.450000000001</v>
      </c>
      <c r="M97" s="14">
        <f>L97+441.4</f>
        <v>10476.85</v>
      </c>
      <c r="N97" s="14">
        <v>17399.330000000002</v>
      </c>
      <c r="O97" s="14">
        <f t="shared" si="10"/>
        <v>-6922.4800000000014</v>
      </c>
      <c r="P97" s="14">
        <v>33</v>
      </c>
      <c r="Q97" s="21">
        <v>-2307.4899999999998</v>
      </c>
      <c r="R97" s="6" t="s">
        <v>58</v>
      </c>
      <c r="S97" s="6" t="s">
        <v>25</v>
      </c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</row>
    <row r="98" spans="1:252" s="24" customFormat="1" ht="20" customHeight="1">
      <c r="A98" s="29">
        <v>88</v>
      </c>
      <c r="B98" s="1">
        <v>0.5</v>
      </c>
      <c r="C98" s="15" t="s">
        <v>31</v>
      </c>
      <c r="D98" s="53" t="s">
        <v>75</v>
      </c>
      <c r="E98" s="16">
        <v>42123</v>
      </c>
      <c r="F98" s="21" t="s">
        <v>336</v>
      </c>
      <c r="G98" s="6" t="s">
        <v>85</v>
      </c>
      <c r="H98" s="9">
        <v>300</v>
      </c>
      <c r="I98" s="22" t="s">
        <v>38</v>
      </c>
      <c r="J98" s="13">
        <f t="shared" si="9"/>
        <v>93876</v>
      </c>
      <c r="K98" s="9">
        <v>158</v>
      </c>
      <c r="L98" s="14">
        <v>2536.56</v>
      </c>
      <c r="M98" s="14">
        <v>2536.56</v>
      </c>
      <c r="N98" s="14">
        <v>3384.44</v>
      </c>
      <c r="O98" s="14">
        <f t="shared" si="10"/>
        <v>-847.88000000000011</v>
      </c>
      <c r="P98" s="14">
        <v>50</v>
      </c>
      <c r="Q98" s="21">
        <f>O98/2</f>
        <v>-423.94000000000005</v>
      </c>
      <c r="R98" s="6" t="s">
        <v>39</v>
      </c>
      <c r="S98" s="6" t="s">
        <v>55</v>
      </c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</row>
    <row r="99" spans="1:252" s="24" customFormat="1" ht="20" customHeight="1">
      <c r="A99" s="29">
        <v>89</v>
      </c>
      <c r="B99" s="1">
        <v>0.33</v>
      </c>
      <c r="C99" s="15" t="s">
        <v>199</v>
      </c>
      <c r="D99" s="53" t="s">
        <v>22</v>
      </c>
      <c r="E99" s="16">
        <v>42097</v>
      </c>
      <c r="F99" s="21" t="s">
        <v>241</v>
      </c>
      <c r="G99" s="6" t="s">
        <v>110</v>
      </c>
      <c r="H99" s="9">
        <v>300</v>
      </c>
      <c r="I99" s="22" t="s">
        <v>200</v>
      </c>
      <c r="J99" s="13">
        <f t="shared" si="9"/>
        <v>94176</v>
      </c>
      <c r="K99" s="9">
        <v>292</v>
      </c>
      <c r="L99" s="14">
        <v>3990.69</v>
      </c>
      <c r="M99" s="14">
        <v>3990.69</v>
      </c>
      <c r="N99" s="14">
        <v>3407.17</v>
      </c>
      <c r="O99" s="14">
        <f t="shared" si="10"/>
        <v>583.52</v>
      </c>
      <c r="P99" s="14">
        <v>50</v>
      </c>
      <c r="Q99" s="21">
        <f>O99/2</f>
        <v>291.76</v>
      </c>
      <c r="R99" s="6" t="s">
        <v>105</v>
      </c>
      <c r="S99" s="6" t="s">
        <v>80</v>
      </c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</row>
    <row r="100" spans="1:252" s="24" customFormat="1" ht="20" customHeight="1">
      <c r="A100" s="29">
        <v>90</v>
      </c>
      <c r="B100" s="1">
        <v>0.5</v>
      </c>
      <c r="C100" s="15" t="s">
        <v>20</v>
      </c>
      <c r="D100" s="53" t="s">
        <v>32</v>
      </c>
      <c r="E100" s="16">
        <v>42126</v>
      </c>
      <c r="F100" s="21" t="s">
        <v>217</v>
      </c>
      <c r="G100" s="6" t="s">
        <v>29</v>
      </c>
      <c r="H100" s="9">
        <v>589</v>
      </c>
      <c r="I100" s="22" t="s">
        <v>38</v>
      </c>
      <c r="J100" s="13">
        <f t="shared" si="9"/>
        <v>94765</v>
      </c>
      <c r="K100" s="29"/>
      <c r="L100" s="14"/>
      <c r="M100" s="14"/>
      <c r="N100" s="14"/>
      <c r="O100" s="14"/>
      <c r="P100" s="14"/>
      <c r="Q100" s="21"/>
      <c r="R100" s="6" t="s">
        <v>87</v>
      </c>
      <c r="S100" s="6" t="s">
        <v>26</v>
      </c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</row>
    <row r="101" spans="1:252" s="24" customFormat="1" ht="20" customHeight="1">
      <c r="A101" s="29">
        <v>91</v>
      </c>
      <c r="B101" s="1">
        <v>0.5</v>
      </c>
      <c r="C101" s="15" t="s">
        <v>31</v>
      </c>
      <c r="D101" s="53" t="s">
        <v>21</v>
      </c>
      <c r="E101" s="16">
        <v>42129</v>
      </c>
      <c r="F101" s="21" t="s">
        <v>345</v>
      </c>
      <c r="G101" s="6" t="s">
        <v>29</v>
      </c>
      <c r="H101" s="9">
        <v>800</v>
      </c>
      <c r="I101" s="22">
        <v>35</v>
      </c>
      <c r="J101" s="13">
        <f t="shared" si="9"/>
        <v>95565</v>
      </c>
      <c r="K101" s="9">
        <v>825</v>
      </c>
      <c r="L101" s="14">
        <v>25113</v>
      </c>
      <c r="M101" s="14">
        <v>25113</v>
      </c>
      <c r="N101" s="14">
        <v>22377.45</v>
      </c>
      <c r="O101" s="14">
        <f>M101-N101</f>
        <v>2735.5499999999993</v>
      </c>
      <c r="P101" s="14">
        <v>50</v>
      </c>
      <c r="Q101" s="21">
        <f>O101/2</f>
        <v>1367.7749999999996</v>
      </c>
      <c r="R101" s="6" t="s">
        <v>39</v>
      </c>
      <c r="S101" s="6" t="s">
        <v>80</v>
      </c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</row>
    <row r="102" spans="1:252" s="24" customFormat="1" ht="20" customHeight="1">
      <c r="A102" s="29">
        <v>92</v>
      </c>
      <c r="B102" s="1">
        <v>0.5</v>
      </c>
      <c r="C102" s="15" t="s">
        <v>31</v>
      </c>
      <c r="D102" s="53" t="s">
        <v>21</v>
      </c>
      <c r="E102" s="16">
        <v>42108</v>
      </c>
      <c r="F102" s="21" t="s">
        <v>203</v>
      </c>
      <c r="G102" s="6" t="s">
        <v>150</v>
      </c>
      <c r="H102" s="9">
        <v>120</v>
      </c>
      <c r="I102" s="22">
        <v>12</v>
      </c>
      <c r="J102" s="13">
        <f t="shared" si="9"/>
        <v>95685</v>
      </c>
      <c r="K102" s="9">
        <v>72</v>
      </c>
      <c r="L102" s="14">
        <v>751.68</v>
      </c>
      <c r="M102" s="14">
        <v>751.68</v>
      </c>
      <c r="N102" s="14">
        <v>1085.26</v>
      </c>
      <c r="O102" s="14">
        <f>M102-N102</f>
        <v>-333.58000000000004</v>
      </c>
      <c r="P102" s="14">
        <v>50</v>
      </c>
      <c r="Q102" s="21">
        <f>O102/2</f>
        <v>-166.79000000000002</v>
      </c>
      <c r="R102" s="6" t="s">
        <v>39</v>
      </c>
      <c r="S102" s="6" t="s">
        <v>55</v>
      </c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</row>
    <row r="103" spans="1:252" s="24" customFormat="1" ht="20" customHeight="1">
      <c r="A103" s="29">
        <v>93</v>
      </c>
      <c r="B103" s="1">
        <v>0.5</v>
      </c>
      <c r="C103" s="15" t="s">
        <v>31</v>
      </c>
      <c r="D103" s="53" t="s">
        <v>32</v>
      </c>
      <c r="E103" s="16">
        <v>42126</v>
      </c>
      <c r="F103" s="21" t="s">
        <v>296</v>
      </c>
      <c r="G103" s="6" t="s">
        <v>150</v>
      </c>
      <c r="H103" s="9">
        <v>120</v>
      </c>
      <c r="I103" s="22">
        <v>12</v>
      </c>
      <c r="J103" s="13">
        <f t="shared" si="9"/>
        <v>95805</v>
      </c>
      <c r="K103" s="9">
        <v>142</v>
      </c>
      <c r="L103" s="14">
        <v>1294.56</v>
      </c>
      <c r="M103" s="14">
        <v>1294.56</v>
      </c>
      <c r="N103" s="14">
        <v>961.68</v>
      </c>
      <c r="O103" s="14">
        <f>M103-N103</f>
        <v>332.88</v>
      </c>
      <c r="P103" s="14">
        <v>50</v>
      </c>
      <c r="Q103" s="21">
        <f>O103/2</f>
        <v>166.44</v>
      </c>
      <c r="R103" s="6" t="s">
        <v>42</v>
      </c>
      <c r="S103" s="6" t="s">
        <v>26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</row>
    <row r="104" spans="1:252" s="24" customFormat="1" ht="20" customHeight="1">
      <c r="A104" s="29">
        <v>94</v>
      </c>
      <c r="B104" s="1">
        <v>0.5</v>
      </c>
      <c r="C104" s="15" t="s">
        <v>20</v>
      </c>
      <c r="D104" s="53" t="s">
        <v>21</v>
      </c>
      <c r="E104" s="16">
        <v>42171</v>
      </c>
      <c r="F104" s="21" t="s">
        <v>207</v>
      </c>
      <c r="G104" s="6" t="s">
        <v>29</v>
      </c>
      <c r="H104" s="9">
        <v>925</v>
      </c>
      <c r="I104" s="22" t="s">
        <v>208</v>
      </c>
      <c r="J104" s="13">
        <f t="shared" si="9"/>
        <v>96730</v>
      </c>
      <c r="K104" s="9">
        <v>954</v>
      </c>
      <c r="L104" s="14">
        <v>25792.92</v>
      </c>
      <c r="M104" s="14">
        <f>L104+1277.02</f>
        <v>27069.94</v>
      </c>
      <c r="N104" s="14">
        <v>22060.639999999999</v>
      </c>
      <c r="O104" s="14">
        <f>M104-N104</f>
        <v>5009.2999999999993</v>
      </c>
      <c r="P104" s="14">
        <v>50</v>
      </c>
      <c r="Q104" s="21">
        <f>O104/2</f>
        <v>2504.6499999999996</v>
      </c>
      <c r="R104" s="6" t="s">
        <v>70</v>
      </c>
      <c r="S104" s="6" t="s">
        <v>26</v>
      </c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</row>
    <row r="105" spans="1:252" s="52" customFormat="1" ht="20" customHeight="1">
      <c r="A105" s="43">
        <v>95</v>
      </c>
      <c r="B105" s="44">
        <v>0.5</v>
      </c>
      <c r="C105" s="45" t="s">
        <v>31</v>
      </c>
      <c r="D105" s="46" t="s">
        <v>139</v>
      </c>
      <c r="E105" s="47">
        <v>42078</v>
      </c>
      <c r="F105" s="48" t="s">
        <v>209</v>
      </c>
      <c r="G105" s="46" t="s">
        <v>125</v>
      </c>
      <c r="H105" s="43">
        <v>120</v>
      </c>
      <c r="I105" s="49" t="s">
        <v>210</v>
      </c>
      <c r="J105" s="50">
        <f t="shared" si="9"/>
        <v>96850</v>
      </c>
      <c r="K105" s="43"/>
      <c r="L105" s="51"/>
      <c r="M105" s="51"/>
      <c r="N105" s="51"/>
      <c r="O105" s="51">
        <v>-414</v>
      </c>
      <c r="P105" s="51">
        <v>0.5</v>
      </c>
      <c r="Q105" s="48">
        <f>P105*O105</f>
        <v>-207</v>
      </c>
      <c r="R105" s="46" t="s">
        <v>127</v>
      </c>
      <c r="S105" s="46" t="s">
        <v>43</v>
      </c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</row>
    <row r="106" spans="1:252" s="24" customFormat="1" ht="20" customHeight="1">
      <c r="A106" s="29">
        <v>96</v>
      </c>
      <c r="B106" s="1">
        <v>0.5</v>
      </c>
      <c r="C106" s="15" t="s">
        <v>20</v>
      </c>
      <c r="D106" s="53" t="s">
        <v>22</v>
      </c>
      <c r="E106" s="16">
        <v>42139</v>
      </c>
      <c r="F106" s="21" t="s">
        <v>211</v>
      </c>
      <c r="G106" s="6" t="s">
        <v>24</v>
      </c>
      <c r="H106" s="9">
        <v>2200</v>
      </c>
      <c r="I106" s="22" t="s">
        <v>212</v>
      </c>
      <c r="J106" s="13">
        <f t="shared" si="9"/>
        <v>99050</v>
      </c>
      <c r="K106" s="9">
        <v>1738</v>
      </c>
      <c r="L106" s="14">
        <v>88605.24</v>
      </c>
      <c r="M106" s="14">
        <f>L106+2404.95</f>
        <v>91010.19</v>
      </c>
      <c r="N106" s="14">
        <v>98916.46</v>
      </c>
      <c r="O106" s="14">
        <f t="shared" ref="O106:O111" si="11">M106-N106</f>
        <v>-7906.2700000000041</v>
      </c>
      <c r="P106" s="14">
        <v>33</v>
      </c>
      <c r="Q106" s="21">
        <v>-2635.43</v>
      </c>
      <c r="R106" s="6" t="s">
        <v>42</v>
      </c>
      <c r="S106" s="6" t="s">
        <v>25</v>
      </c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</row>
    <row r="107" spans="1:252" s="24" customFormat="1" ht="20" customHeight="1">
      <c r="A107" s="29">
        <v>97</v>
      </c>
      <c r="B107" s="1">
        <v>0.33</v>
      </c>
      <c r="C107" s="15" t="s">
        <v>199</v>
      </c>
      <c r="D107" s="53" t="s">
        <v>32</v>
      </c>
      <c r="E107" s="16">
        <v>42196</v>
      </c>
      <c r="F107" s="21" t="s">
        <v>444</v>
      </c>
      <c r="G107" s="6" t="s">
        <v>135</v>
      </c>
      <c r="H107" s="9">
        <v>565</v>
      </c>
      <c r="I107" s="22" t="s">
        <v>102</v>
      </c>
      <c r="J107" s="13">
        <f t="shared" si="9"/>
        <v>99615</v>
      </c>
      <c r="K107" s="9">
        <v>514</v>
      </c>
      <c r="L107" s="14">
        <v>9134.2099999999991</v>
      </c>
      <c r="M107" s="14">
        <v>9134.2099999999991</v>
      </c>
      <c r="N107" s="14">
        <v>8637.1</v>
      </c>
      <c r="O107" s="14">
        <f t="shared" si="11"/>
        <v>497.10999999999876</v>
      </c>
      <c r="P107" s="14">
        <v>50</v>
      </c>
      <c r="Q107" s="21">
        <f>O107/2</f>
        <v>248.55499999999938</v>
      </c>
      <c r="R107" s="6" t="s">
        <v>41</v>
      </c>
      <c r="S107" s="6" t="s">
        <v>80</v>
      </c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</row>
    <row r="108" spans="1:252" s="24" customFormat="1" ht="20" customHeight="1">
      <c r="A108" s="29">
        <v>98</v>
      </c>
      <c r="B108" s="1">
        <v>0.5</v>
      </c>
      <c r="C108" s="15" t="s">
        <v>31</v>
      </c>
      <c r="D108" s="53" t="s">
        <v>21</v>
      </c>
      <c r="E108" s="16">
        <v>42101</v>
      </c>
      <c r="F108" s="21" t="s">
        <v>230</v>
      </c>
      <c r="G108" s="6" t="s">
        <v>186</v>
      </c>
      <c r="H108" s="9">
        <v>425</v>
      </c>
      <c r="I108" s="22" t="s">
        <v>111</v>
      </c>
      <c r="J108" s="13">
        <f t="shared" si="9"/>
        <v>100040</v>
      </c>
      <c r="K108" s="9">
        <v>95</v>
      </c>
      <c r="L108" s="14">
        <v>1279.77</v>
      </c>
      <c r="M108" s="14">
        <v>1279.77</v>
      </c>
      <c r="N108" s="14">
        <v>4616</v>
      </c>
      <c r="O108" s="14">
        <f t="shared" si="11"/>
        <v>-3336.23</v>
      </c>
      <c r="P108" s="14">
        <v>50</v>
      </c>
      <c r="Q108" s="21">
        <f>O108/2</f>
        <v>-1668.115</v>
      </c>
      <c r="R108" s="6" t="s">
        <v>58</v>
      </c>
      <c r="S108" s="6" t="s">
        <v>55</v>
      </c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</row>
    <row r="109" spans="1:252" s="24" customFormat="1" ht="20" customHeight="1">
      <c r="A109" s="29">
        <v>99</v>
      </c>
      <c r="B109" s="1">
        <v>0.5</v>
      </c>
      <c r="C109" s="15" t="s">
        <v>20</v>
      </c>
      <c r="D109" s="53" t="s">
        <v>27</v>
      </c>
      <c r="E109" s="16">
        <v>42110</v>
      </c>
      <c r="F109" s="21" t="s">
        <v>295</v>
      </c>
      <c r="G109" s="6" t="s">
        <v>29</v>
      </c>
      <c r="H109" s="9">
        <v>513</v>
      </c>
      <c r="I109" s="22" t="s">
        <v>215</v>
      </c>
      <c r="J109" s="13">
        <f t="shared" si="9"/>
        <v>100553</v>
      </c>
      <c r="K109" s="9">
        <v>239</v>
      </c>
      <c r="L109" s="14">
        <v>9637.2099999999991</v>
      </c>
      <c r="M109" s="14">
        <f>L109+243.53</f>
        <v>9880.74</v>
      </c>
      <c r="N109" s="14">
        <v>12576.31</v>
      </c>
      <c r="O109" s="14">
        <f t="shared" si="11"/>
        <v>-2695.5699999999997</v>
      </c>
      <c r="P109" s="14">
        <v>50</v>
      </c>
      <c r="Q109" s="21">
        <f>O109/2</f>
        <v>-1347.7849999999999</v>
      </c>
      <c r="R109" s="6" t="s">
        <v>216</v>
      </c>
      <c r="S109" s="6" t="s">
        <v>26</v>
      </c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</row>
    <row r="110" spans="1:252" s="24" customFormat="1" ht="20" customHeight="1">
      <c r="A110" s="29">
        <v>100</v>
      </c>
      <c r="B110" s="1">
        <v>0.5</v>
      </c>
      <c r="C110" s="15" t="s">
        <v>20</v>
      </c>
      <c r="D110" s="53" t="s">
        <v>22</v>
      </c>
      <c r="E110" s="16">
        <v>42125</v>
      </c>
      <c r="F110" s="21" t="s">
        <v>284</v>
      </c>
      <c r="G110" s="6" t="s">
        <v>29</v>
      </c>
      <c r="H110" s="9">
        <v>925</v>
      </c>
      <c r="I110" s="22" t="s">
        <v>219</v>
      </c>
      <c r="J110" s="13">
        <f t="shared" si="9"/>
        <v>101478</v>
      </c>
      <c r="K110" s="9">
        <v>452</v>
      </c>
      <c r="L110" s="14">
        <v>14824.23</v>
      </c>
      <c r="M110" s="14">
        <f>L110+564.69</f>
        <v>15388.92</v>
      </c>
      <c r="N110" s="14">
        <v>16617.61</v>
      </c>
      <c r="O110" s="14">
        <f t="shared" si="11"/>
        <v>-1228.6900000000005</v>
      </c>
      <c r="P110" s="14">
        <v>50</v>
      </c>
      <c r="Q110" s="21">
        <f>O110/2</f>
        <v>-614.34500000000025</v>
      </c>
      <c r="R110" s="6" t="s">
        <v>87</v>
      </c>
      <c r="S110" s="6" t="s">
        <v>26</v>
      </c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</row>
    <row r="111" spans="1:252" s="24" customFormat="1" ht="20" customHeight="1">
      <c r="A111" s="29">
        <v>101</v>
      </c>
      <c r="B111" s="1">
        <v>0.5</v>
      </c>
      <c r="C111" s="15" t="s">
        <v>20</v>
      </c>
      <c r="D111" s="53" t="s">
        <v>23</v>
      </c>
      <c r="E111" s="16">
        <v>42159</v>
      </c>
      <c r="F111" s="21" t="s">
        <v>297</v>
      </c>
      <c r="G111" s="6" t="s">
        <v>29</v>
      </c>
      <c r="H111" s="9">
        <v>925</v>
      </c>
      <c r="I111" s="22">
        <v>25</v>
      </c>
      <c r="J111" s="13">
        <f t="shared" si="9"/>
        <v>102403</v>
      </c>
      <c r="K111" s="9">
        <v>677</v>
      </c>
      <c r="L111" s="14">
        <v>15340.7</v>
      </c>
      <c r="M111" s="14">
        <f>L111+817.35</f>
        <v>16158.050000000001</v>
      </c>
      <c r="N111" s="14">
        <v>18191.330000000002</v>
      </c>
      <c r="O111" s="14">
        <f t="shared" si="11"/>
        <v>-2033.2800000000007</v>
      </c>
      <c r="P111" s="14">
        <v>50</v>
      </c>
      <c r="Q111" s="21">
        <f>O111/2</f>
        <v>-1016.6400000000003</v>
      </c>
      <c r="R111" s="6" t="s">
        <v>42</v>
      </c>
      <c r="S111" s="6" t="s">
        <v>26</v>
      </c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</row>
    <row r="112" spans="1:252" s="24" customFormat="1" ht="20" customHeight="1">
      <c r="A112" s="29">
        <v>102</v>
      </c>
      <c r="B112" s="1">
        <v>0.5</v>
      </c>
      <c r="C112" s="15" t="s">
        <v>31</v>
      </c>
      <c r="D112" s="53" t="s">
        <v>32</v>
      </c>
      <c r="E112" s="16">
        <v>42126</v>
      </c>
      <c r="F112" s="21" t="s">
        <v>220</v>
      </c>
      <c r="G112" s="6" t="s">
        <v>143</v>
      </c>
      <c r="H112" s="9">
        <v>850</v>
      </c>
      <c r="I112" s="22" t="s">
        <v>145</v>
      </c>
      <c r="J112" s="13">
        <f t="shared" si="9"/>
        <v>103253</v>
      </c>
      <c r="K112" s="9">
        <v>636</v>
      </c>
      <c r="L112" s="14">
        <v>13973.64</v>
      </c>
      <c r="M112" s="14">
        <v>13973.64</v>
      </c>
      <c r="N112" s="14">
        <v>15537.32</v>
      </c>
      <c r="O112" s="14">
        <f t="shared" ref="O112:O119" si="12">M112-N112</f>
        <v>-1563.6800000000003</v>
      </c>
      <c r="P112" s="14">
        <v>50</v>
      </c>
      <c r="Q112" s="21">
        <f t="shared" ref="Q112:Q119" si="13">O112/2</f>
        <v>-781.84000000000015</v>
      </c>
      <c r="R112" s="6" t="s">
        <v>221</v>
      </c>
      <c r="S112" s="6" t="s">
        <v>80</v>
      </c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</row>
    <row r="113" spans="1:252" s="24" customFormat="1" ht="20" customHeight="1">
      <c r="A113" s="29">
        <v>103</v>
      </c>
      <c r="B113" s="1">
        <v>0.5</v>
      </c>
      <c r="C113" s="15" t="s">
        <v>31</v>
      </c>
      <c r="D113" s="53" t="s">
        <v>27</v>
      </c>
      <c r="E113" s="16">
        <v>42110</v>
      </c>
      <c r="F113" s="21" t="s">
        <v>298</v>
      </c>
      <c r="G113" s="6" t="s">
        <v>125</v>
      </c>
      <c r="H113" s="9">
        <v>120</v>
      </c>
      <c r="I113" s="22" t="s">
        <v>38</v>
      </c>
      <c r="J113" s="13">
        <f t="shared" si="9"/>
        <v>103373</v>
      </c>
      <c r="K113" s="9">
        <v>74</v>
      </c>
      <c r="L113" s="14">
        <v>1186.52</v>
      </c>
      <c r="M113" s="14">
        <v>1186.52</v>
      </c>
      <c r="N113" s="14">
        <v>1554.52</v>
      </c>
      <c r="O113" s="14">
        <f t="shared" si="12"/>
        <v>-368</v>
      </c>
      <c r="P113" s="14">
        <v>50</v>
      </c>
      <c r="Q113" s="21">
        <f t="shared" si="13"/>
        <v>-184</v>
      </c>
      <c r="R113" s="6" t="s">
        <v>127</v>
      </c>
      <c r="S113" s="6" t="s">
        <v>83</v>
      </c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</row>
    <row r="114" spans="1:252" s="24" customFormat="1" ht="20" customHeight="1">
      <c r="A114" s="29">
        <v>104</v>
      </c>
      <c r="B114" s="1">
        <v>0.5</v>
      </c>
      <c r="C114" s="15" t="s">
        <v>31</v>
      </c>
      <c r="D114" s="53" t="s">
        <v>75</v>
      </c>
      <c r="E114" s="16">
        <v>42151</v>
      </c>
      <c r="F114" s="21" t="s">
        <v>245</v>
      </c>
      <c r="G114" s="6" t="s">
        <v>85</v>
      </c>
      <c r="H114" s="9">
        <v>300</v>
      </c>
      <c r="I114" s="22" t="s">
        <v>38</v>
      </c>
      <c r="J114" s="13">
        <f t="shared" si="9"/>
        <v>103673</v>
      </c>
      <c r="K114" s="9">
        <v>184</v>
      </c>
      <c r="L114" s="14">
        <v>2961.02</v>
      </c>
      <c r="M114" s="14">
        <v>2961.02</v>
      </c>
      <c r="N114" s="14">
        <v>3480.4</v>
      </c>
      <c r="O114" s="14">
        <f t="shared" si="12"/>
        <v>-519.38000000000011</v>
      </c>
      <c r="P114" s="14">
        <v>50</v>
      </c>
      <c r="Q114" s="21">
        <f t="shared" si="13"/>
        <v>-259.69000000000005</v>
      </c>
      <c r="R114" s="6" t="s">
        <v>130</v>
      </c>
      <c r="S114" s="6" t="s">
        <v>55</v>
      </c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</row>
    <row r="115" spans="1:252" s="24" customFormat="1" ht="20" customHeight="1">
      <c r="A115" s="29">
        <v>105</v>
      </c>
      <c r="B115" s="1">
        <v>0.5</v>
      </c>
      <c r="C115" s="15" t="s">
        <v>31</v>
      </c>
      <c r="D115" s="53" t="s">
        <v>21</v>
      </c>
      <c r="E115" s="16">
        <v>42073</v>
      </c>
      <c r="F115" s="21" t="s">
        <v>225</v>
      </c>
      <c r="G115" s="6" t="s">
        <v>85</v>
      </c>
      <c r="H115" s="9">
        <v>300</v>
      </c>
      <c r="I115" s="22" t="s">
        <v>200</v>
      </c>
      <c r="J115" s="13">
        <f t="shared" si="9"/>
        <v>103973</v>
      </c>
      <c r="K115" s="9">
        <v>80</v>
      </c>
      <c r="L115" s="14">
        <v>1085.76</v>
      </c>
      <c r="M115" s="14">
        <v>1085.76</v>
      </c>
      <c r="N115" s="14">
        <v>2301.09</v>
      </c>
      <c r="O115" s="14">
        <f t="shared" si="12"/>
        <v>-1215.3300000000002</v>
      </c>
      <c r="P115" s="14">
        <v>50</v>
      </c>
      <c r="Q115" s="21">
        <f t="shared" si="13"/>
        <v>-607.66500000000008</v>
      </c>
      <c r="R115" s="6" t="s">
        <v>87</v>
      </c>
      <c r="S115" s="6" t="s">
        <v>55</v>
      </c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</row>
    <row r="116" spans="1:252" s="24" customFormat="1" ht="20" customHeight="1">
      <c r="A116" s="29">
        <v>106</v>
      </c>
      <c r="B116" s="1">
        <v>0.5</v>
      </c>
      <c r="C116" s="15" t="s">
        <v>20</v>
      </c>
      <c r="D116" s="53" t="s">
        <v>139</v>
      </c>
      <c r="E116" s="16">
        <v>42127</v>
      </c>
      <c r="F116" s="21" t="s">
        <v>514</v>
      </c>
      <c r="G116" s="6" t="s">
        <v>29</v>
      </c>
      <c r="H116" s="9">
        <v>925</v>
      </c>
      <c r="I116" s="22" t="s">
        <v>228</v>
      </c>
      <c r="J116" s="13">
        <f t="shared" si="9"/>
        <v>104898</v>
      </c>
      <c r="K116" s="9">
        <v>925</v>
      </c>
      <c r="L116" s="14">
        <v>22140.84</v>
      </c>
      <c r="M116" s="14">
        <f>L116+1232.88</f>
        <v>23373.72</v>
      </c>
      <c r="N116" s="14">
        <v>18757.439999999999</v>
      </c>
      <c r="O116" s="14">
        <f t="shared" si="12"/>
        <v>4616.2800000000025</v>
      </c>
      <c r="P116" s="14">
        <v>50</v>
      </c>
      <c r="Q116" s="21">
        <f t="shared" si="13"/>
        <v>2308.1400000000012</v>
      </c>
      <c r="R116" s="6" t="s">
        <v>64</v>
      </c>
      <c r="S116" s="6" t="s">
        <v>26</v>
      </c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</row>
    <row r="117" spans="1:252" s="24" customFormat="1" ht="20" customHeight="1">
      <c r="A117" s="29">
        <v>107</v>
      </c>
      <c r="B117" s="1">
        <v>0.5</v>
      </c>
      <c r="C117" s="15" t="s">
        <v>31</v>
      </c>
      <c r="D117" s="53" t="s">
        <v>32</v>
      </c>
      <c r="E117" s="16">
        <v>42133</v>
      </c>
      <c r="F117" s="21" t="s">
        <v>301</v>
      </c>
      <c r="G117" s="6" t="s">
        <v>163</v>
      </c>
      <c r="H117" s="9">
        <v>120</v>
      </c>
      <c r="I117" s="22" t="s">
        <v>229</v>
      </c>
      <c r="J117" s="13">
        <f t="shared" si="9"/>
        <v>105018</v>
      </c>
      <c r="K117" s="9">
        <v>32</v>
      </c>
      <c r="L117" s="14">
        <v>424.36</v>
      </c>
      <c r="M117" s="14">
        <v>424.36</v>
      </c>
      <c r="N117" s="14">
        <v>1178.1400000000001</v>
      </c>
      <c r="O117" s="14">
        <f t="shared" si="12"/>
        <v>-753.78000000000009</v>
      </c>
      <c r="P117" s="14">
        <v>50</v>
      </c>
      <c r="Q117" s="21">
        <f t="shared" si="13"/>
        <v>-376.89000000000004</v>
      </c>
      <c r="R117" s="6" t="s">
        <v>130</v>
      </c>
      <c r="S117" s="6" t="s">
        <v>83</v>
      </c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</row>
    <row r="118" spans="1:252" s="24" customFormat="1" ht="20" customHeight="1">
      <c r="A118" s="29">
        <v>108</v>
      </c>
      <c r="B118" s="1">
        <v>0.5</v>
      </c>
      <c r="C118" s="15" t="s">
        <v>20</v>
      </c>
      <c r="D118" s="53" t="s">
        <v>21</v>
      </c>
      <c r="E118" s="16">
        <v>42136</v>
      </c>
      <c r="F118" s="21" t="s">
        <v>232</v>
      </c>
      <c r="G118" s="6" t="s">
        <v>29</v>
      </c>
      <c r="H118" s="9">
        <v>925</v>
      </c>
      <c r="I118" s="22" t="s">
        <v>40</v>
      </c>
      <c r="J118" s="13">
        <f t="shared" si="9"/>
        <v>105943</v>
      </c>
      <c r="K118" s="9">
        <v>485</v>
      </c>
      <c r="L118" s="14">
        <v>10663.96</v>
      </c>
      <c r="M118" s="14">
        <f>L118+608.83</f>
        <v>11272.789999999999</v>
      </c>
      <c r="N118" s="14">
        <v>12654.53</v>
      </c>
      <c r="O118" s="14">
        <f t="shared" si="12"/>
        <v>-1381.7400000000016</v>
      </c>
      <c r="P118" s="14">
        <v>50</v>
      </c>
      <c r="Q118" s="21">
        <f t="shared" si="13"/>
        <v>-690.8700000000008</v>
      </c>
      <c r="R118" s="6" t="s">
        <v>233</v>
      </c>
      <c r="S118" s="6" t="s">
        <v>26</v>
      </c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</row>
    <row r="119" spans="1:252" s="24" customFormat="1" ht="20" customHeight="1">
      <c r="A119" s="29">
        <v>109</v>
      </c>
      <c r="B119" s="1">
        <v>0.5</v>
      </c>
      <c r="C119" s="15" t="s">
        <v>20</v>
      </c>
      <c r="D119" s="53" t="s">
        <v>23</v>
      </c>
      <c r="E119" s="16">
        <v>42177</v>
      </c>
      <c r="F119" s="21" t="s">
        <v>293</v>
      </c>
      <c r="G119" s="6" t="s">
        <v>29</v>
      </c>
      <c r="H119" s="9">
        <v>925</v>
      </c>
      <c r="I119" s="22" t="s">
        <v>133</v>
      </c>
      <c r="J119" s="13">
        <f t="shared" si="9"/>
        <v>106868</v>
      </c>
      <c r="K119" s="9">
        <v>934</v>
      </c>
      <c r="L119" s="14">
        <v>24498.92</v>
      </c>
      <c r="M119" s="14">
        <f>L119+1170.47</f>
        <v>25669.39</v>
      </c>
      <c r="N119" s="14">
        <v>21979.75</v>
      </c>
      <c r="O119" s="14">
        <f t="shared" si="12"/>
        <v>3689.6399999999994</v>
      </c>
      <c r="P119" s="14">
        <v>50</v>
      </c>
      <c r="Q119" s="21">
        <f t="shared" si="13"/>
        <v>1844.8199999999997</v>
      </c>
      <c r="R119" s="6" t="s">
        <v>234</v>
      </c>
      <c r="S119" s="6" t="s">
        <v>235</v>
      </c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</row>
    <row r="120" spans="1:252" s="24" customFormat="1" ht="20" customHeight="1">
      <c r="A120" s="29">
        <v>110</v>
      </c>
      <c r="B120" s="1">
        <v>0.5</v>
      </c>
      <c r="C120" s="15" t="s">
        <v>31</v>
      </c>
      <c r="D120" s="53" t="s">
        <v>32</v>
      </c>
      <c r="E120" s="16">
        <v>42119</v>
      </c>
      <c r="F120" s="21" t="s">
        <v>279</v>
      </c>
      <c r="G120" s="6" t="s">
        <v>150</v>
      </c>
      <c r="H120" s="9">
        <v>120</v>
      </c>
      <c r="I120" s="22" t="s">
        <v>86</v>
      </c>
      <c r="J120" s="13">
        <f>J119+120</f>
        <v>106988</v>
      </c>
      <c r="K120" s="9">
        <v>122</v>
      </c>
      <c r="L120" s="14">
        <v>1464.35</v>
      </c>
      <c r="M120" s="14">
        <v>1464.35</v>
      </c>
      <c r="N120" s="14">
        <v>1163.8499999999999</v>
      </c>
      <c r="O120" s="14">
        <f>M120-N120</f>
        <v>300.5</v>
      </c>
      <c r="P120" s="14">
        <v>50</v>
      </c>
      <c r="Q120" s="21">
        <f>O120/2</f>
        <v>150.25</v>
      </c>
      <c r="R120" s="6" t="s">
        <v>237</v>
      </c>
      <c r="S120" s="6" t="s">
        <v>55</v>
      </c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</row>
    <row r="121" spans="1:252" s="24" customFormat="1" ht="20" customHeight="1">
      <c r="A121" s="29">
        <v>111</v>
      </c>
      <c r="B121" s="1">
        <v>0.33</v>
      </c>
      <c r="C121" s="15" t="s">
        <v>238</v>
      </c>
      <c r="D121" s="53" t="s">
        <v>75</v>
      </c>
      <c r="E121" s="16">
        <v>42109</v>
      </c>
      <c r="F121" s="21" t="s">
        <v>323</v>
      </c>
      <c r="G121" s="6" t="s">
        <v>143</v>
      </c>
      <c r="H121" s="9">
        <v>850</v>
      </c>
      <c r="I121" s="22">
        <v>30</v>
      </c>
      <c r="J121" s="13">
        <f t="shared" ref="J121:J204" si="14">J120+H121</f>
        <v>107838</v>
      </c>
      <c r="K121" s="9">
        <v>788</v>
      </c>
      <c r="L121" s="14">
        <v>20565.84</v>
      </c>
      <c r="M121" s="14">
        <f>20565.84+1141.55+101.02</f>
        <v>21808.41</v>
      </c>
      <c r="N121" s="14">
        <v>17872.41</v>
      </c>
      <c r="O121" s="14">
        <f>M121-N121</f>
        <v>3936</v>
      </c>
      <c r="P121" s="14">
        <v>0.33333000000000002</v>
      </c>
      <c r="Q121" s="21">
        <v>1519.1</v>
      </c>
      <c r="R121" s="6" t="s">
        <v>240</v>
      </c>
      <c r="S121" s="6" t="s">
        <v>26</v>
      </c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</row>
    <row r="122" spans="1:252" s="24" customFormat="1" ht="20" customHeight="1">
      <c r="A122" s="29">
        <v>112</v>
      </c>
      <c r="B122" s="1">
        <v>0.25</v>
      </c>
      <c r="C122" s="15" t="s">
        <v>246</v>
      </c>
      <c r="D122" s="53" t="s">
        <v>22</v>
      </c>
      <c r="E122" s="16">
        <v>42083</v>
      </c>
      <c r="F122" s="21" t="s">
        <v>276</v>
      </c>
      <c r="G122" s="6" t="s">
        <v>186</v>
      </c>
      <c r="H122" s="9">
        <v>550</v>
      </c>
      <c r="I122" s="22" t="s">
        <v>79</v>
      </c>
      <c r="J122" s="13">
        <f t="shared" si="14"/>
        <v>108388</v>
      </c>
      <c r="K122" s="9">
        <v>520</v>
      </c>
      <c r="L122" s="14">
        <v>10720.33</v>
      </c>
      <c r="M122" s="14">
        <f>L122</f>
        <v>10720.33</v>
      </c>
      <c r="N122" s="14">
        <v>7971.37</v>
      </c>
      <c r="O122" s="14">
        <f t="shared" ref="O122:O130" si="15">M122-N122</f>
        <v>2748.96</v>
      </c>
      <c r="P122" s="59">
        <v>0.25</v>
      </c>
      <c r="Q122" s="21">
        <f>P122*O122</f>
        <v>687.24</v>
      </c>
      <c r="R122" s="6" t="s">
        <v>656</v>
      </c>
      <c r="S122" s="6" t="s">
        <v>235</v>
      </c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</row>
    <row r="123" spans="1:252" s="24" customFormat="1" ht="20" customHeight="1">
      <c r="A123" s="29">
        <v>113</v>
      </c>
      <c r="B123" s="1">
        <v>0.5</v>
      </c>
      <c r="C123" s="15" t="s">
        <v>20</v>
      </c>
      <c r="D123" s="53" t="s">
        <v>75</v>
      </c>
      <c r="E123" s="16" t="s">
        <v>290</v>
      </c>
      <c r="F123" s="21" t="s">
        <v>267</v>
      </c>
      <c r="G123" s="6" t="s">
        <v>24</v>
      </c>
      <c r="H123" s="9">
        <v>4400</v>
      </c>
      <c r="I123" s="22" t="s">
        <v>248</v>
      </c>
      <c r="J123" s="13">
        <f t="shared" si="14"/>
        <v>112788</v>
      </c>
      <c r="K123" s="9">
        <v>4549</v>
      </c>
      <c r="L123" s="14">
        <v>136835.75</v>
      </c>
      <c r="M123" s="14">
        <f>L123+6135.77+715</f>
        <v>143686.51999999999</v>
      </c>
      <c r="N123" s="14">
        <v>118127.32</v>
      </c>
      <c r="O123" s="14">
        <f t="shared" si="15"/>
        <v>25559.199999999983</v>
      </c>
      <c r="P123" s="14">
        <v>50</v>
      </c>
      <c r="Q123" s="21">
        <f>O123/2</f>
        <v>12779.599999999991</v>
      </c>
      <c r="R123" s="6" t="s">
        <v>70</v>
      </c>
      <c r="S123" s="6" t="s">
        <v>25</v>
      </c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</row>
    <row r="124" spans="1:252" s="24" customFormat="1" ht="20" customHeight="1">
      <c r="A124" s="29">
        <v>114</v>
      </c>
      <c r="B124" s="1">
        <v>0.5</v>
      </c>
      <c r="C124" s="15" t="s">
        <v>20</v>
      </c>
      <c r="D124" s="53" t="s">
        <v>32</v>
      </c>
      <c r="E124" s="16">
        <v>42119</v>
      </c>
      <c r="F124" s="21" t="s">
        <v>261</v>
      </c>
      <c r="G124" s="6" t="s">
        <v>239</v>
      </c>
      <c r="H124" s="9">
        <v>925</v>
      </c>
      <c r="I124" s="22">
        <v>20</v>
      </c>
      <c r="J124" s="13">
        <f t="shared" si="14"/>
        <v>113713</v>
      </c>
      <c r="K124" s="9">
        <v>925</v>
      </c>
      <c r="L124" s="14">
        <v>16085.75</v>
      </c>
      <c r="M124" s="14">
        <f>L124+1210.05</f>
        <v>17295.8</v>
      </c>
      <c r="N124" s="14">
        <v>13336.7</v>
      </c>
      <c r="O124" s="14">
        <f t="shared" si="15"/>
        <v>3959.0999999999985</v>
      </c>
      <c r="P124" s="14">
        <v>50</v>
      </c>
      <c r="Q124" s="21">
        <f>O124/2</f>
        <v>1979.5499999999993</v>
      </c>
      <c r="R124" s="6" t="s">
        <v>28</v>
      </c>
      <c r="S124" s="6" t="s">
        <v>25</v>
      </c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</row>
    <row r="125" spans="1:252" s="24" customFormat="1" ht="20" customHeight="1">
      <c r="A125" s="29">
        <v>115</v>
      </c>
      <c r="B125" s="1">
        <v>0.25</v>
      </c>
      <c r="C125" s="15" t="s">
        <v>251</v>
      </c>
      <c r="D125" s="53" t="s">
        <v>27</v>
      </c>
      <c r="E125" s="16">
        <v>42124</v>
      </c>
      <c r="F125" s="21" t="s">
        <v>310</v>
      </c>
      <c r="G125" s="6" t="s">
        <v>252</v>
      </c>
      <c r="H125" s="9">
        <v>450</v>
      </c>
      <c r="I125" s="22" t="s">
        <v>253</v>
      </c>
      <c r="J125" s="13">
        <f t="shared" si="14"/>
        <v>114163</v>
      </c>
      <c r="K125" s="9">
        <v>259</v>
      </c>
      <c r="L125" s="14">
        <v>4568.45</v>
      </c>
      <c r="M125" s="14">
        <f>L125+626.22</f>
        <v>5194.67</v>
      </c>
      <c r="N125" s="14">
        <v>4048.95</v>
      </c>
      <c r="O125" s="14">
        <f t="shared" si="15"/>
        <v>1145.7200000000003</v>
      </c>
      <c r="P125" s="14">
        <v>25</v>
      </c>
      <c r="Q125" s="21">
        <v>301.43</v>
      </c>
      <c r="R125" s="6" t="s">
        <v>127</v>
      </c>
      <c r="S125" s="6" t="s">
        <v>83</v>
      </c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</row>
    <row r="126" spans="1:252" s="24" customFormat="1" ht="20" customHeight="1">
      <c r="A126" s="29">
        <v>116</v>
      </c>
      <c r="B126" s="1">
        <v>0.5</v>
      </c>
      <c r="C126" s="15" t="s">
        <v>20</v>
      </c>
      <c r="D126" s="53" t="s">
        <v>21</v>
      </c>
      <c r="E126" s="16">
        <v>42178</v>
      </c>
      <c r="F126" s="21" t="s">
        <v>319</v>
      </c>
      <c r="G126" s="6" t="s">
        <v>29</v>
      </c>
      <c r="H126" s="9">
        <v>925</v>
      </c>
      <c r="I126" s="22" t="s">
        <v>254</v>
      </c>
      <c r="J126" s="13">
        <f t="shared" si="14"/>
        <v>115088</v>
      </c>
      <c r="K126" s="9">
        <v>863</v>
      </c>
      <c r="L126" s="14">
        <v>21326.45</v>
      </c>
      <c r="M126" s="14">
        <f>L126+1065.39</f>
        <v>22391.84</v>
      </c>
      <c r="N126" s="14">
        <v>32510.71</v>
      </c>
      <c r="O126" s="14">
        <f t="shared" si="15"/>
        <v>-10118.869999999999</v>
      </c>
      <c r="P126" s="14">
        <v>50</v>
      </c>
      <c r="Q126" s="21">
        <f t="shared" ref="Q126:Q132" si="16">O126/2</f>
        <v>-5059.4349999999995</v>
      </c>
      <c r="R126" s="6" t="s">
        <v>122</v>
      </c>
      <c r="S126" s="6" t="s">
        <v>26</v>
      </c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</row>
    <row r="127" spans="1:252" s="24" customFormat="1" ht="20" customHeight="1">
      <c r="A127" s="29">
        <v>117</v>
      </c>
      <c r="B127" s="1">
        <v>0.5</v>
      </c>
      <c r="C127" s="15" t="s">
        <v>31</v>
      </c>
      <c r="D127" s="53" t="s">
        <v>139</v>
      </c>
      <c r="E127" s="16">
        <v>42106</v>
      </c>
      <c r="F127" s="21" t="s">
        <v>311</v>
      </c>
      <c r="G127" s="6" t="s">
        <v>186</v>
      </c>
      <c r="H127" s="9">
        <v>425</v>
      </c>
      <c r="I127" s="22" t="s">
        <v>53</v>
      </c>
      <c r="J127" s="13">
        <f t="shared" si="14"/>
        <v>115513</v>
      </c>
      <c r="K127" s="9">
        <v>126</v>
      </c>
      <c r="L127" s="14">
        <v>2462.58</v>
      </c>
      <c r="M127" s="14">
        <v>2462.58</v>
      </c>
      <c r="N127" s="14">
        <v>5082.8500000000004</v>
      </c>
      <c r="O127" s="14">
        <f t="shared" si="15"/>
        <v>-2620.2700000000004</v>
      </c>
      <c r="P127" s="14">
        <v>50</v>
      </c>
      <c r="Q127" s="21">
        <f t="shared" si="16"/>
        <v>-1310.1350000000002</v>
      </c>
      <c r="R127" s="6" t="s">
        <v>39</v>
      </c>
      <c r="S127" s="6" t="s">
        <v>55</v>
      </c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</row>
    <row r="128" spans="1:252" s="24" customFormat="1" ht="20" customHeight="1">
      <c r="A128" s="29">
        <v>118</v>
      </c>
      <c r="B128" s="1">
        <v>0.5</v>
      </c>
      <c r="C128" s="15" t="s">
        <v>31</v>
      </c>
      <c r="D128" s="53" t="s">
        <v>21</v>
      </c>
      <c r="E128" s="16">
        <v>42150</v>
      </c>
      <c r="F128" s="21" t="s">
        <v>255</v>
      </c>
      <c r="G128" s="6" t="s">
        <v>186</v>
      </c>
      <c r="H128" s="9">
        <v>425</v>
      </c>
      <c r="I128" s="22" t="s">
        <v>112</v>
      </c>
      <c r="J128" s="13">
        <f t="shared" si="14"/>
        <v>115938</v>
      </c>
      <c r="K128" s="9">
        <v>289</v>
      </c>
      <c r="L128" s="14">
        <v>4347.1099999999997</v>
      </c>
      <c r="M128" s="14">
        <v>4347.1099999999997</v>
      </c>
      <c r="N128" s="14">
        <v>5017.42</v>
      </c>
      <c r="O128" s="14">
        <f t="shared" si="15"/>
        <v>-670.3100000000004</v>
      </c>
      <c r="P128" s="14">
        <v>50</v>
      </c>
      <c r="Q128" s="21">
        <f t="shared" si="16"/>
        <v>-335.1550000000002</v>
      </c>
      <c r="R128" s="6" t="s">
        <v>70</v>
      </c>
      <c r="S128" s="6" t="s">
        <v>55</v>
      </c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</row>
    <row r="129" spans="1:252" s="24" customFormat="1" ht="20" customHeight="1">
      <c r="A129" s="29">
        <v>119</v>
      </c>
      <c r="B129" s="1">
        <v>0.5</v>
      </c>
      <c r="C129" s="15" t="s">
        <v>20</v>
      </c>
      <c r="D129" s="53" t="s">
        <v>75</v>
      </c>
      <c r="E129" s="16">
        <v>42165</v>
      </c>
      <c r="F129" s="21" t="s">
        <v>257</v>
      </c>
      <c r="G129" s="6" t="s">
        <v>24</v>
      </c>
      <c r="H129" s="9">
        <v>2200</v>
      </c>
      <c r="I129" s="22" t="s">
        <v>256</v>
      </c>
      <c r="J129" s="13">
        <f t="shared" si="14"/>
        <v>118138</v>
      </c>
      <c r="K129" s="9">
        <v>1068</v>
      </c>
      <c r="L129" s="14">
        <v>25300.52</v>
      </c>
      <c r="M129" s="14">
        <f>L129+1284.88</f>
        <v>26585.4</v>
      </c>
      <c r="N129" s="14">
        <v>35355.269999999997</v>
      </c>
      <c r="O129" s="14">
        <f t="shared" si="15"/>
        <v>-8769.8699999999953</v>
      </c>
      <c r="P129" s="14">
        <v>50</v>
      </c>
      <c r="Q129" s="21">
        <f t="shared" si="16"/>
        <v>-4384.9349999999977</v>
      </c>
      <c r="R129" s="6" t="s">
        <v>41</v>
      </c>
      <c r="S129" s="6" t="s">
        <v>55</v>
      </c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</row>
    <row r="130" spans="1:252" s="24" customFormat="1" ht="20" customHeight="1">
      <c r="A130" s="29">
        <v>120</v>
      </c>
      <c r="B130" s="1">
        <v>0.5</v>
      </c>
      <c r="C130" s="15" t="s">
        <v>31</v>
      </c>
      <c r="D130" s="53" t="s">
        <v>22</v>
      </c>
      <c r="E130" s="16">
        <v>42153</v>
      </c>
      <c r="F130" s="21" t="s">
        <v>259</v>
      </c>
      <c r="G130" s="6" t="s">
        <v>260</v>
      </c>
      <c r="H130" s="9">
        <v>150</v>
      </c>
      <c r="I130" s="22" t="s">
        <v>86</v>
      </c>
      <c r="J130" s="13">
        <f t="shared" si="14"/>
        <v>118288</v>
      </c>
      <c r="K130" s="9">
        <v>136</v>
      </c>
      <c r="L130" s="14">
        <v>1620.8</v>
      </c>
      <c r="M130" s="14">
        <v>1620.8</v>
      </c>
      <c r="N130" s="14">
        <v>1477.25</v>
      </c>
      <c r="O130" s="14">
        <f t="shared" si="15"/>
        <v>143.54999999999995</v>
      </c>
      <c r="P130" s="14">
        <v>50</v>
      </c>
      <c r="Q130" s="21">
        <f t="shared" si="16"/>
        <v>71.774999999999977</v>
      </c>
      <c r="R130" s="6" t="s">
        <v>39</v>
      </c>
      <c r="S130" s="6" t="s">
        <v>55</v>
      </c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</row>
    <row r="131" spans="1:252" s="24" customFormat="1" ht="20" customHeight="1">
      <c r="A131" s="29">
        <v>121</v>
      </c>
      <c r="B131" s="1">
        <v>0.5</v>
      </c>
      <c r="C131" s="15" t="s">
        <v>20</v>
      </c>
      <c r="D131" s="53" t="s">
        <v>32</v>
      </c>
      <c r="E131" s="16">
        <v>42189</v>
      </c>
      <c r="F131" s="21" t="s">
        <v>632</v>
      </c>
      <c r="G131" s="6" t="s">
        <v>29</v>
      </c>
      <c r="H131" s="9">
        <v>650</v>
      </c>
      <c r="I131" s="22">
        <v>25</v>
      </c>
      <c r="J131" s="13">
        <f t="shared" si="14"/>
        <v>118938</v>
      </c>
      <c r="K131" s="9">
        <v>875</v>
      </c>
      <c r="L131" s="14">
        <v>19022.5</v>
      </c>
      <c r="M131" s="14">
        <f>L131+1207</f>
        <v>20229.5</v>
      </c>
      <c r="N131" s="14">
        <v>15715.98</v>
      </c>
      <c r="O131" s="14">
        <f>M131-N131</f>
        <v>4513.5200000000004</v>
      </c>
      <c r="P131" s="14">
        <v>50</v>
      </c>
      <c r="Q131" s="21">
        <f t="shared" si="16"/>
        <v>2256.7600000000002</v>
      </c>
      <c r="R131" s="6" t="s">
        <v>263</v>
      </c>
      <c r="S131" s="6" t="s">
        <v>26</v>
      </c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</row>
    <row r="132" spans="1:252" s="24" customFormat="1" ht="20" customHeight="1">
      <c r="A132" s="29">
        <v>122</v>
      </c>
      <c r="B132" s="1">
        <v>0.5</v>
      </c>
      <c r="C132" s="15" t="s">
        <v>20</v>
      </c>
      <c r="D132" s="53" t="s">
        <v>22</v>
      </c>
      <c r="E132" s="16">
        <v>42153</v>
      </c>
      <c r="F132" s="21" t="s">
        <v>368</v>
      </c>
      <c r="G132" s="6" t="s">
        <v>29</v>
      </c>
      <c r="H132" s="9">
        <v>589</v>
      </c>
      <c r="I132" s="22" t="s">
        <v>107</v>
      </c>
      <c r="J132" s="13">
        <f t="shared" si="14"/>
        <v>119527</v>
      </c>
      <c r="K132" s="9">
        <v>208</v>
      </c>
      <c r="L132" s="14">
        <v>6453.62</v>
      </c>
      <c r="M132" s="14">
        <f>L132+273.97</f>
        <v>6727.59</v>
      </c>
      <c r="N132" s="14">
        <v>10258.629999999999</v>
      </c>
      <c r="O132" s="14">
        <f t="shared" ref="O132:O137" si="17">M132-N132</f>
        <v>-3531.0399999999991</v>
      </c>
      <c r="P132" s="14">
        <v>50</v>
      </c>
      <c r="Q132" s="21">
        <f t="shared" si="16"/>
        <v>-1765.5199999999995</v>
      </c>
      <c r="R132" s="6" t="s">
        <v>36</v>
      </c>
      <c r="S132" s="6" t="s">
        <v>26</v>
      </c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</row>
    <row r="133" spans="1:252" s="24" customFormat="1" ht="20" customHeight="1">
      <c r="A133" s="29">
        <v>123</v>
      </c>
      <c r="B133" s="1">
        <v>0.5</v>
      </c>
      <c r="C133" s="15" t="s">
        <v>31</v>
      </c>
      <c r="D133" s="53" t="s">
        <v>21</v>
      </c>
      <c r="E133" s="16">
        <v>42164</v>
      </c>
      <c r="F133" s="21" t="s">
        <v>382</v>
      </c>
      <c r="G133" s="6" t="s">
        <v>186</v>
      </c>
      <c r="H133" s="9">
        <v>400</v>
      </c>
      <c r="I133" s="22" t="s">
        <v>264</v>
      </c>
      <c r="J133" s="13">
        <f t="shared" si="14"/>
        <v>119927</v>
      </c>
      <c r="K133" s="9">
        <v>314</v>
      </c>
      <c r="L133" s="14">
        <v>5708.6</v>
      </c>
      <c r="M133" s="14">
        <v>5708.6</v>
      </c>
      <c r="N133" s="14">
        <v>5932.63</v>
      </c>
      <c r="O133" s="14">
        <f t="shared" si="17"/>
        <v>-224.02999999999975</v>
      </c>
      <c r="P133" s="14">
        <v>50</v>
      </c>
      <c r="Q133" s="21">
        <f t="shared" ref="Q133:Q139" si="18">O133/2</f>
        <v>-112.01499999999987</v>
      </c>
      <c r="R133" s="6" t="s">
        <v>101</v>
      </c>
      <c r="S133" s="6" t="s">
        <v>55</v>
      </c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</row>
    <row r="134" spans="1:252" s="24" customFormat="1" ht="20" customHeight="1">
      <c r="A134" s="29">
        <v>124</v>
      </c>
      <c r="B134" s="1">
        <v>0.5</v>
      </c>
      <c r="C134" s="15" t="s">
        <v>20</v>
      </c>
      <c r="D134" s="53" t="s">
        <v>22</v>
      </c>
      <c r="E134" s="16">
        <v>42111</v>
      </c>
      <c r="F134" s="21" t="s">
        <v>355</v>
      </c>
      <c r="G134" s="6" t="s">
        <v>29</v>
      </c>
      <c r="H134" s="9">
        <v>925</v>
      </c>
      <c r="I134" s="22" t="s">
        <v>265</v>
      </c>
      <c r="J134" s="13">
        <f t="shared" si="14"/>
        <v>120852</v>
      </c>
      <c r="K134" s="9">
        <v>601</v>
      </c>
      <c r="L134" s="14">
        <v>13728.13</v>
      </c>
      <c r="M134" s="14">
        <f>L134+803.65</f>
        <v>14531.779999999999</v>
      </c>
      <c r="N134" s="14">
        <v>13345.49</v>
      </c>
      <c r="O134" s="14">
        <f t="shared" si="17"/>
        <v>1186.2899999999991</v>
      </c>
      <c r="P134" s="14">
        <v>50</v>
      </c>
      <c r="Q134" s="21">
        <f t="shared" si="18"/>
        <v>593.14499999999953</v>
      </c>
      <c r="R134" s="6" t="s">
        <v>41</v>
      </c>
      <c r="S134" s="6" t="s">
        <v>55</v>
      </c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</row>
    <row r="135" spans="1:252" s="24" customFormat="1" ht="20" customHeight="1">
      <c r="A135" s="29">
        <v>125</v>
      </c>
      <c r="B135" s="1">
        <v>0.5</v>
      </c>
      <c r="C135" s="15" t="s">
        <v>31</v>
      </c>
      <c r="D135" s="53" t="s">
        <v>21</v>
      </c>
      <c r="E135" s="16">
        <v>42157</v>
      </c>
      <c r="F135" s="21" t="s">
        <v>266</v>
      </c>
      <c r="G135" s="6" t="s">
        <v>110</v>
      </c>
      <c r="H135" s="9">
        <v>300</v>
      </c>
      <c r="I135" s="22" t="s">
        <v>128</v>
      </c>
      <c r="J135" s="13">
        <f t="shared" si="14"/>
        <v>121152</v>
      </c>
      <c r="K135" s="9">
        <v>168</v>
      </c>
      <c r="L135" s="14">
        <v>2521.3200000000002</v>
      </c>
      <c r="M135" s="14">
        <v>2521.3200000000002</v>
      </c>
      <c r="N135" s="14">
        <v>3237.32</v>
      </c>
      <c r="O135" s="14">
        <f t="shared" si="17"/>
        <v>-716</v>
      </c>
      <c r="P135" s="14">
        <v>50</v>
      </c>
      <c r="Q135" s="21">
        <f t="shared" si="18"/>
        <v>-358</v>
      </c>
      <c r="R135" s="6" t="s">
        <v>39</v>
      </c>
      <c r="S135" s="6" t="s">
        <v>55</v>
      </c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</row>
    <row r="136" spans="1:252" s="24" customFormat="1" ht="20" customHeight="1">
      <c r="A136" s="29">
        <v>126</v>
      </c>
      <c r="B136" s="1">
        <v>0.5</v>
      </c>
      <c r="C136" s="15" t="s">
        <v>31</v>
      </c>
      <c r="D136" s="53" t="s">
        <v>21</v>
      </c>
      <c r="E136" s="16">
        <v>42157</v>
      </c>
      <c r="F136" s="21" t="s">
        <v>317</v>
      </c>
      <c r="G136" s="6" t="s">
        <v>33</v>
      </c>
      <c r="H136" s="9">
        <v>150</v>
      </c>
      <c r="I136" s="22" t="s">
        <v>126</v>
      </c>
      <c r="J136" s="13">
        <f t="shared" si="14"/>
        <v>121302</v>
      </c>
      <c r="K136" s="9">
        <v>59</v>
      </c>
      <c r="L136" s="14">
        <v>574.20000000000005</v>
      </c>
      <c r="M136" s="14">
        <v>574.20000000000005</v>
      </c>
      <c r="N136" s="14">
        <v>717.83</v>
      </c>
      <c r="O136" s="14">
        <f t="shared" si="17"/>
        <v>-143.63</v>
      </c>
      <c r="P136" s="14">
        <v>50</v>
      </c>
      <c r="Q136" s="21">
        <f t="shared" si="18"/>
        <v>-71.814999999999998</v>
      </c>
      <c r="R136" s="6" t="s">
        <v>130</v>
      </c>
      <c r="S136" s="6" t="s">
        <v>83</v>
      </c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</row>
    <row r="137" spans="1:252" s="24" customFormat="1" ht="20" customHeight="1">
      <c r="A137" s="29">
        <v>127</v>
      </c>
      <c r="B137" s="1">
        <v>0.5</v>
      </c>
      <c r="C137" s="15" t="s">
        <v>31</v>
      </c>
      <c r="D137" s="53" t="s">
        <v>21</v>
      </c>
      <c r="E137" s="16">
        <v>42199</v>
      </c>
      <c r="F137" s="21" t="s">
        <v>498</v>
      </c>
      <c r="G137" s="6" t="s">
        <v>33</v>
      </c>
      <c r="H137" s="9">
        <v>160</v>
      </c>
      <c r="I137" s="22">
        <v>15</v>
      </c>
      <c r="J137" s="13">
        <f t="shared" si="14"/>
        <v>121462</v>
      </c>
      <c r="K137" s="9">
        <v>98</v>
      </c>
      <c r="L137" s="14">
        <v>1278.9000000000001</v>
      </c>
      <c r="M137" s="14">
        <v>1278.9000000000001</v>
      </c>
      <c r="N137" s="14">
        <v>1550.76</v>
      </c>
      <c r="O137" s="14">
        <f t="shared" si="17"/>
        <v>-271.8599999999999</v>
      </c>
      <c r="P137" s="14">
        <v>50</v>
      </c>
      <c r="Q137" s="21">
        <f t="shared" si="18"/>
        <v>-135.92999999999995</v>
      </c>
      <c r="R137" s="6" t="s">
        <v>268</v>
      </c>
      <c r="S137" s="6" t="s">
        <v>55</v>
      </c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</row>
    <row r="138" spans="1:252" s="24" customFormat="1" ht="20" customHeight="1">
      <c r="A138" s="29">
        <v>128</v>
      </c>
      <c r="B138" s="1">
        <v>0.5</v>
      </c>
      <c r="C138" s="15" t="s">
        <v>31</v>
      </c>
      <c r="D138" s="53" t="s">
        <v>23</v>
      </c>
      <c r="E138" s="16">
        <v>42212</v>
      </c>
      <c r="F138" s="21" t="s">
        <v>436</v>
      </c>
      <c r="G138" s="6" t="s">
        <v>183</v>
      </c>
      <c r="H138" s="9">
        <v>550</v>
      </c>
      <c r="I138" s="22" t="s">
        <v>269</v>
      </c>
      <c r="J138" s="13">
        <f t="shared" si="14"/>
        <v>122012</v>
      </c>
      <c r="K138" s="9">
        <v>548</v>
      </c>
      <c r="L138" s="14">
        <v>11201.12</v>
      </c>
      <c r="M138" s="14">
        <v>11201.12</v>
      </c>
      <c r="N138" s="14">
        <v>9475.91</v>
      </c>
      <c r="O138" s="14">
        <v>1446.97</v>
      </c>
      <c r="P138" s="14">
        <v>50</v>
      </c>
      <c r="Q138" s="21">
        <f t="shared" si="18"/>
        <v>723.48500000000001</v>
      </c>
      <c r="R138" s="6" t="s">
        <v>263</v>
      </c>
      <c r="S138" s="6" t="s">
        <v>26</v>
      </c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</row>
    <row r="139" spans="1:252" s="24" customFormat="1" ht="20" customHeight="1">
      <c r="A139" s="29">
        <v>129</v>
      </c>
      <c r="B139" s="1">
        <v>0.5</v>
      </c>
      <c r="C139" s="15" t="s">
        <v>20</v>
      </c>
      <c r="D139" s="53" t="s">
        <v>22</v>
      </c>
      <c r="E139" s="16">
        <v>42104</v>
      </c>
      <c r="F139" s="21" t="s">
        <v>294</v>
      </c>
      <c r="G139" s="6" t="s">
        <v>29</v>
      </c>
      <c r="H139" s="9">
        <v>925</v>
      </c>
      <c r="I139" s="22" t="s">
        <v>229</v>
      </c>
      <c r="J139" s="13">
        <f t="shared" si="14"/>
        <v>122937</v>
      </c>
      <c r="K139" s="9">
        <v>458</v>
      </c>
      <c r="L139" s="14">
        <v>5779.12</v>
      </c>
      <c r="M139" s="14">
        <f>L139+246.58</f>
        <v>6025.7</v>
      </c>
      <c r="N139" s="14">
        <v>5343.42</v>
      </c>
      <c r="O139" s="14">
        <f>M139-N139</f>
        <v>682.27999999999975</v>
      </c>
      <c r="P139" s="14">
        <v>50</v>
      </c>
      <c r="Q139" s="21">
        <f t="shared" si="18"/>
        <v>341.13999999999987</v>
      </c>
      <c r="R139" s="6" t="s">
        <v>87</v>
      </c>
      <c r="S139" s="6" t="s">
        <v>55</v>
      </c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</row>
    <row r="140" spans="1:252" s="52" customFormat="1" ht="20" customHeight="1">
      <c r="A140" s="43">
        <v>130</v>
      </c>
      <c r="B140" s="44">
        <v>0.5</v>
      </c>
      <c r="C140" s="45" t="s">
        <v>31</v>
      </c>
      <c r="D140" s="56" t="s">
        <v>22</v>
      </c>
      <c r="E140" s="47">
        <v>42174</v>
      </c>
      <c r="F140" s="48" t="s">
        <v>273</v>
      </c>
      <c r="G140" s="46" t="s">
        <v>274</v>
      </c>
      <c r="H140" s="43">
        <v>250</v>
      </c>
      <c r="I140" s="49" t="s">
        <v>275</v>
      </c>
      <c r="J140" s="50">
        <f t="shared" si="14"/>
        <v>123187</v>
      </c>
      <c r="K140" s="43"/>
      <c r="L140" s="51"/>
      <c r="M140" s="51"/>
      <c r="N140" s="51"/>
      <c r="O140" s="51">
        <v>-1533.75</v>
      </c>
      <c r="P140" s="60">
        <v>0.5</v>
      </c>
      <c r="Q140" s="48">
        <f>P140*O140</f>
        <v>-766.875</v>
      </c>
      <c r="R140" s="46" t="s">
        <v>130</v>
      </c>
      <c r="S140" s="46" t="s">
        <v>83</v>
      </c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8"/>
    </row>
    <row r="141" spans="1:252" s="52" customFormat="1" ht="20" customHeight="1">
      <c r="A141" s="43">
        <v>131</v>
      </c>
      <c r="B141" s="44">
        <v>0.5</v>
      </c>
      <c r="C141" s="45" t="s">
        <v>31</v>
      </c>
      <c r="D141" s="46" t="s">
        <v>32</v>
      </c>
      <c r="E141" s="47">
        <v>42140</v>
      </c>
      <c r="F141" s="48" t="s">
        <v>309</v>
      </c>
      <c r="G141" s="46" t="s">
        <v>85</v>
      </c>
      <c r="H141" s="43">
        <v>300</v>
      </c>
      <c r="I141" s="49">
        <v>15</v>
      </c>
      <c r="J141" s="50">
        <f t="shared" si="14"/>
        <v>123487</v>
      </c>
      <c r="K141" s="43"/>
      <c r="L141" s="51"/>
      <c r="M141" s="51"/>
      <c r="N141" s="51"/>
      <c r="O141" s="51">
        <v>0</v>
      </c>
      <c r="P141" s="51">
        <v>0</v>
      </c>
      <c r="Q141" s="48">
        <v>0</v>
      </c>
      <c r="R141" s="46" t="s">
        <v>70</v>
      </c>
      <c r="S141" s="46" t="s">
        <v>25</v>
      </c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  <c r="IH141" s="48"/>
      <c r="II141" s="48"/>
      <c r="IJ141" s="48"/>
      <c r="IK141" s="48"/>
      <c r="IL141" s="48"/>
      <c r="IM141" s="48"/>
      <c r="IN141" s="48"/>
      <c r="IO141" s="48"/>
      <c r="IP141" s="48"/>
      <c r="IQ141" s="48"/>
      <c r="IR141" s="48"/>
    </row>
    <row r="142" spans="1:252" s="24" customFormat="1" ht="20" customHeight="1">
      <c r="A142" s="29">
        <v>132</v>
      </c>
      <c r="B142" s="1">
        <v>0.5</v>
      </c>
      <c r="C142" s="15" t="s">
        <v>31</v>
      </c>
      <c r="D142" s="53" t="s">
        <v>73</v>
      </c>
      <c r="E142" s="16" t="s">
        <v>321</v>
      </c>
      <c r="F142" s="21" t="s">
        <v>405</v>
      </c>
      <c r="G142" s="6" t="s">
        <v>186</v>
      </c>
      <c r="H142" s="9">
        <v>1025</v>
      </c>
      <c r="I142" s="22" t="s">
        <v>111</v>
      </c>
      <c r="J142" s="13">
        <f t="shared" si="14"/>
        <v>124512</v>
      </c>
      <c r="K142" s="9">
        <v>1025</v>
      </c>
      <c r="L142" s="14">
        <v>13416.27</v>
      </c>
      <c r="M142" s="14">
        <v>13416.27</v>
      </c>
      <c r="N142" s="14">
        <v>8523.8700000000008</v>
      </c>
      <c r="O142" s="14">
        <v>1820.65</v>
      </c>
      <c r="P142" s="14">
        <v>50</v>
      </c>
      <c r="Q142" s="21">
        <f>O142/2</f>
        <v>910.32500000000005</v>
      </c>
      <c r="R142" s="6" t="s">
        <v>280</v>
      </c>
      <c r="S142" s="6" t="s">
        <v>55</v>
      </c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</row>
    <row r="143" spans="1:252" s="24" customFormat="1" ht="20" customHeight="1">
      <c r="A143" s="29">
        <v>133</v>
      </c>
      <c r="B143" s="1">
        <v>0.5</v>
      </c>
      <c r="C143" s="15" t="s">
        <v>31</v>
      </c>
      <c r="D143" s="53" t="s">
        <v>23</v>
      </c>
      <c r="E143" s="16">
        <v>42128</v>
      </c>
      <c r="F143" s="21" t="s">
        <v>334</v>
      </c>
      <c r="G143" s="6" t="s">
        <v>186</v>
      </c>
      <c r="H143" s="9">
        <v>450</v>
      </c>
      <c r="I143" s="22" t="s">
        <v>281</v>
      </c>
      <c r="J143" s="13">
        <f t="shared" si="14"/>
        <v>124962</v>
      </c>
      <c r="K143" s="9">
        <v>107</v>
      </c>
      <c r="L143" s="14">
        <v>2182.15</v>
      </c>
      <c r="M143" s="14">
        <v>2182.15</v>
      </c>
      <c r="N143" s="14">
        <v>6113.67</v>
      </c>
      <c r="O143" s="14">
        <f>M143-N143</f>
        <v>-3931.52</v>
      </c>
      <c r="P143" s="14">
        <v>50</v>
      </c>
      <c r="Q143" s="21">
        <f>O143/2</f>
        <v>-1965.76</v>
      </c>
      <c r="R143" s="6" t="s">
        <v>282</v>
      </c>
      <c r="S143" s="6" t="s">
        <v>283</v>
      </c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</row>
    <row r="144" spans="1:252" s="24" customFormat="1" ht="20" customHeight="1">
      <c r="A144" s="29">
        <v>134</v>
      </c>
      <c r="B144" s="1">
        <v>0.5</v>
      </c>
      <c r="C144" s="15" t="s">
        <v>20</v>
      </c>
      <c r="D144" s="53" t="s">
        <v>139</v>
      </c>
      <c r="E144" s="16">
        <v>42141</v>
      </c>
      <c r="F144" s="21" t="s">
        <v>292</v>
      </c>
      <c r="G144" s="6" t="s">
        <v>24</v>
      </c>
      <c r="H144" s="9">
        <v>2200</v>
      </c>
      <c r="I144" s="22" t="s">
        <v>154</v>
      </c>
      <c r="J144" s="13">
        <f t="shared" si="14"/>
        <v>127162</v>
      </c>
      <c r="K144" s="9">
        <v>1497</v>
      </c>
      <c r="L144" s="14">
        <v>42851.41</v>
      </c>
      <c r="M144" s="14">
        <f>L144+1809.02</f>
        <v>44660.43</v>
      </c>
      <c r="N144" s="14">
        <v>42639.68</v>
      </c>
      <c r="O144" s="14">
        <f>M144-N144</f>
        <v>2020.75</v>
      </c>
      <c r="P144" s="14">
        <v>50</v>
      </c>
      <c r="Q144" s="21">
        <f>O144/2</f>
        <v>1010.375</v>
      </c>
      <c r="R144" s="6" t="s">
        <v>41</v>
      </c>
      <c r="S144" s="6" t="s">
        <v>55</v>
      </c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</row>
    <row r="145" spans="1:252" s="52" customFormat="1" ht="20" customHeight="1">
      <c r="A145" s="43">
        <v>135</v>
      </c>
      <c r="B145" s="44">
        <v>0.5</v>
      </c>
      <c r="C145" s="45" t="s">
        <v>31</v>
      </c>
      <c r="D145" s="46" t="s">
        <v>32</v>
      </c>
      <c r="E145" s="47">
        <v>42147</v>
      </c>
      <c r="F145" s="48" t="s">
        <v>286</v>
      </c>
      <c r="G145" s="46" t="s">
        <v>138</v>
      </c>
      <c r="H145" s="43">
        <v>400</v>
      </c>
      <c r="I145" s="49" t="s">
        <v>200</v>
      </c>
      <c r="J145" s="50">
        <f t="shared" si="14"/>
        <v>127562</v>
      </c>
      <c r="K145" s="43"/>
      <c r="L145" s="51"/>
      <c r="M145" s="51"/>
      <c r="N145" s="51"/>
      <c r="O145" s="51">
        <v>-306</v>
      </c>
      <c r="P145" s="51">
        <v>0.5</v>
      </c>
      <c r="Q145" s="48">
        <f>P145*O145</f>
        <v>-153</v>
      </c>
      <c r="R145" s="46" t="s">
        <v>144</v>
      </c>
      <c r="S145" s="46" t="s">
        <v>55</v>
      </c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48"/>
      <c r="HX145" s="48"/>
      <c r="HY145" s="48"/>
      <c r="HZ145" s="48"/>
      <c r="IA145" s="48"/>
      <c r="IB145" s="48"/>
      <c r="IC145" s="48"/>
      <c r="ID145" s="48"/>
      <c r="IE145" s="48"/>
      <c r="IF145" s="48"/>
      <c r="IG145" s="48"/>
      <c r="IH145" s="48"/>
      <c r="II145" s="48"/>
      <c r="IJ145" s="48"/>
      <c r="IK145" s="48"/>
      <c r="IL145" s="48"/>
      <c r="IM145" s="48"/>
      <c r="IN145" s="48"/>
      <c r="IO145" s="48"/>
      <c r="IP145" s="48"/>
      <c r="IQ145" s="48"/>
      <c r="IR145" s="48"/>
    </row>
    <row r="146" spans="1:252" s="24" customFormat="1" ht="20" customHeight="1">
      <c r="A146" s="29">
        <v>136</v>
      </c>
      <c r="B146" s="1">
        <v>0.5</v>
      </c>
      <c r="C146" s="15" t="s">
        <v>20</v>
      </c>
      <c r="D146" s="53" t="s">
        <v>21</v>
      </c>
      <c r="E146" s="16">
        <v>42206</v>
      </c>
      <c r="F146" s="21" t="s">
        <v>287</v>
      </c>
      <c r="G146" s="6" t="s">
        <v>67</v>
      </c>
      <c r="H146" s="9">
        <v>2250</v>
      </c>
      <c r="I146" s="22" t="s">
        <v>288</v>
      </c>
      <c r="J146" s="13">
        <f t="shared" si="14"/>
        <v>129812</v>
      </c>
      <c r="K146" s="9">
        <v>2248</v>
      </c>
      <c r="L146" s="14">
        <v>109547.2</v>
      </c>
      <c r="M146" s="14">
        <f>L146+3322.35</f>
        <v>112869.55</v>
      </c>
      <c r="N146" s="14">
        <v>102088.49</v>
      </c>
      <c r="O146" s="14">
        <f t="shared" ref="O146:O157" si="19">M146-N146</f>
        <v>10781.059999999998</v>
      </c>
      <c r="P146" s="14">
        <v>50</v>
      </c>
      <c r="Q146" s="21">
        <f>O146/2</f>
        <v>5390.5299999999988</v>
      </c>
      <c r="R146" s="6" t="s">
        <v>122</v>
      </c>
      <c r="S146" s="6" t="s">
        <v>55</v>
      </c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</row>
    <row r="147" spans="1:252" s="24" customFormat="1" ht="20" customHeight="1">
      <c r="A147" s="29">
        <v>137</v>
      </c>
      <c r="B147" s="1">
        <v>0.33</v>
      </c>
      <c r="C147" s="15" t="s">
        <v>88</v>
      </c>
      <c r="D147" s="53" t="s">
        <v>27</v>
      </c>
      <c r="E147" s="16">
        <v>42166</v>
      </c>
      <c r="F147" s="21" t="s">
        <v>396</v>
      </c>
      <c r="G147" s="6" t="s">
        <v>24</v>
      </c>
      <c r="H147" s="9">
        <v>4400</v>
      </c>
      <c r="I147" s="22" t="s">
        <v>95</v>
      </c>
      <c r="J147" s="13">
        <f t="shared" si="14"/>
        <v>134212</v>
      </c>
      <c r="K147" s="9">
        <v>4568</v>
      </c>
      <c r="L147" s="14">
        <v>119725.48</v>
      </c>
      <c r="M147" s="14">
        <f>L147+5903.17</f>
        <v>125628.65</v>
      </c>
      <c r="N147" s="14">
        <v>99285.85</v>
      </c>
      <c r="O147" s="14">
        <f t="shared" si="19"/>
        <v>26342.799999999988</v>
      </c>
      <c r="P147" s="14">
        <v>33</v>
      </c>
      <c r="Q147" s="21">
        <v>9764.7999999999993</v>
      </c>
      <c r="R147" s="6" t="s">
        <v>130</v>
      </c>
      <c r="S147" s="6" t="s">
        <v>235</v>
      </c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</row>
    <row r="148" spans="1:252" s="24" customFormat="1" ht="20" customHeight="1">
      <c r="A148" s="29">
        <v>138</v>
      </c>
      <c r="B148" s="1">
        <v>0.5</v>
      </c>
      <c r="C148" s="15" t="s">
        <v>31</v>
      </c>
      <c r="D148" s="53" t="s">
        <v>23</v>
      </c>
      <c r="E148" s="16">
        <v>42198</v>
      </c>
      <c r="F148" s="21" t="s">
        <v>397</v>
      </c>
      <c r="G148" s="6" t="s">
        <v>150</v>
      </c>
      <c r="H148" s="9">
        <v>120</v>
      </c>
      <c r="I148" s="22" t="s">
        <v>86</v>
      </c>
      <c r="J148" s="13">
        <f t="shared" si="14"/>
        <v>134332</v>
      </c>
      <c r="K148" s="9">
        <v>120</v>
      </c>
      <c r="L148" s="14">
        <v>1356</v>
      </c>
      <c r="M148" s="14">
        <v>1356</v>
      </c>
      <c r="N148" s="14">
        <v>1119.74</v>
      </c>
      <c r="O148" s="14">
        <f t="shared" si="19"/>
        <v>236.26</v>
      </c>
      <c r="P148" s="14">
        <v>50</v>
      </c>
      <c r="Q148" s="21">
        <f>O148/2</f>
        <v>118.13</v>
      </c>
      <c r="R148" s="6" t="s">
        <v>39</v>
      </c>
      <c r="S148" s="6" t="s">
        <v>55</v>
      </c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</row>
    <row r="149" spans="1:252" s="24" customFormat="1" ht="20" customHeight="1">
      <c r="A149" s="29">
        <v>139</v>
      </c>
      <c r="B149" s="1">
        <v>0.5</v>
      </c>
      <c r="C149" s="15" t="s">
        <v>31</v>
      </c>
      <c r="D149" s="53" t="s">
        <v>23</v>
      </c>
      <c r="E149" s="16">
        <v>42163</v>
      </c>
      <c r="F149" s="21" t="s">
        <v>303</v>
      </c>
      <c r="G149" s="6" t="s">
        <v>29</v>
      </c>
      <c r="H149" s="9">
        <v>925</v>
      </c>
      <c r="I149" s="22" t="s">
        <v>291</v>
      </c>
      <c r="J149" s="13">
        <f t="shared" si="14"/>
        <v>135257</v>
      </c>
      <c r="K149" s="9">
        <v>927</v>
      </c>
      <c r="L149" s="14">
        <v>17196.54</v>
      </c>
      <c r="M149" s="14">
        <f>L149+1249.62</f>
        <v>18446.16</v>
      </c>
      <c r="N149" s="14">
        <v>14504.29</v>
      </c>
      <c r="O149" s="14">
        <f t="shared" si="19"/>
        <v>3941.869999999999</v>
      </c>
      <c r="P149" s="14">
        <v>50</v>
      </c>
      <c r="Q149" s="21">
        <f>O149/2</f>
        <v>1970.9349999999995</v>
      </c>
      <c r="R149" s="6" t="s">
        <v>101</v>
      </c>
      <c r="S149" s="6" t="s">
        <v>83</v>
      </c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</row>
    <row r="150" spans="1:252" s="24" customFormat="1" ht="20" customHeight="1">
      <c r="A150" s="29">
        <v>140</v>
      </c>
      <c r="B150" s="1">
        <v>0.5</v>
      </c>
      <c r="C150" s="15" t="s">
        <v>31</v>
      </c>
      <c r="D150" s="53" t="s">
        <v>23</v>
      </c>
      <c r="E150" s="16">
        <v>42149</v>
      </c>
      <c r="F150" s="21" t="s">
        <v>349</v>
      </c>
      <c r="G150" s="6" t="s">
        <v>33</v>
      </c>
      <c r="H150" s="9">
        <v>160</v>
      </c>
      <c r="I150" s="22">
        <v>12</v>
      </c>
      <c r="J150" s="13">
        <f t="shared" si="14"/>
        <v>135417</v>
      </c>
      <c r="K150" s="9">
        <v>24</v>
      </c>
      <c r="L150" s="14">
        <v>250.56</v>
      </c>
      <c r="M150" s="14">
        <v>250.56</v>
      </c>
      <c r="N150" s="14">
        <v>1276.05</v>
      </c>
      <c r="O150" s="14">
        <f t="shared" si="19"/>
        <v>-1025.49</v>
      </c>
      <c r="P150" s="14">
        <v>50</v>
      </c>
      <c r="Q150" s="21">
        <f>O150/2</f>
        <v>-512.745</v>
      </c>
      <c r="R150" s="6" t="s">
        <v>70</v>
      </c>
      <c r="S150" s="6" t="s">
        <v>25</v>
      </c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</row>
    <row r="151" spans="1:252" s="24" customFormat="1" ht="20" customHeight="1">
      <c r="A151" s="29">
        <v>141</v>
      </c>
      <c r="B151" s="1">
        <v>0.5</v>
      </c>
      <c r="C151" s="15" t="s">
        <v>31</v>
      </c>
      <c r="D151" s="53" t="s">
        <v>32</v>
      </c>
      <c r="E151" s="16">
        <v>42147</v>
      </c>
      <c r="F151" s="21" t="s">
        <v>344</v>
      </c>
      <c r="G151" s="6" t="s">
        <v>186</v>
      </c>
      <c r="H151" s="9">
        <v>425</v>
      </c>
      <c r="I151" s="22" t="s">
        <v>264</v>
      </c>
      <c r="J151" s="13">
        <f t="shared" si="14"/>
        <v>135842</v>
      </c>
      <c r="K151" s="9">
        <v>123</v>
      </c>
      <c r="L151" s="14">
        <v>2139</v>
      </c>
      <c r="M151" s="14">
        <v>2139</v>
      </c>
      <c r="N151" s="14">
        <v>4478.33</v>
      </c>
      <c r="O151" s="14">
        <f t="shared" si="19"/>
        <v>-2339.33</v>
      </c>
      <c r="P151" s="14">
        <v>50</v>
      </c>
      <c r="Q151" s="21">
        <f>O151/2</f>
        <v>-1169.665</v>
      </c>
      <c r="R151" s="6" t="s">
        <v>70</v>
      </c>
      <c r="S151" s="6" t="s">
        <v>55</v>
      </c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</row>
    <row r="152" spans="1:252" s="24" customFormat="1" ht="20" customHeight="1">
      <c r="A152" s="29">
        <v>142</v>
      </c>
      <c r="B152" s="1">
        <v>0.5</v>
      </c>
      <c r="C152" s="15" t="s">
        <v>20</v>
      </c>
      <c r="D152" s="53" t="s">
        <v>75</v>
      </c>
      <c r="E152" s="16">
        <v>42200</v>
      </c>
      <c r="F152" s="21" t="s">
        <v>633</v>
      </c>
      <c r="G152" s="6" t="s">
        <v>24</v>
      </c>
      <c r="H152" s="9">
        <v>2200</v>
      </c>
      <c r="I152" s="22" t="s">
        <v>215</v>
      </c>
      <c r="J152" s="13">
        <f t="shared" si="14"/>
        <v>138042</v>
      </c>
      <c r="K152" s="9">
        <v>1092</v>
      </c>
      <c r="L152" s="14">
        <v>43167.18</v>
      </c>
      <c r="M152" s="14">
        <f>L152+1197.68</f>
        <v>44364.86</v>
      </c>
      <c r="N152" s="14">
        <v>66863.47</v>
      </c>
      <c r="O152" s="14">
        <f t="shared" si="19"/>
        <v>-22498.61</v>
      </c>
      <c r="P152" s="14">
        <v>50</v>
      </c>
      <c r="Q152" s="21">
        <f>O152/2</f>
        <v>-11249.305</v>
      </c>
      <c r="R152" s="6" t="s">
        <v>28</v>
      </c>
      <c r="S152" s="6" t="s">
        <v>26</v>
      </c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</row>
    <row r="153" spans="1:252" s="24" customFormat="1" ht="20" customHeight="1">
      <c r="A153" s="29">
        <v>143</v>
      </c>
      <c r="B153" s="1">
        <v>0.5</v>
      </c>
      <c r="C153" s="15" t="s">
        <v>31</v>
      </c>
      <c r="D153" s="53" t="s">
        <v>22</v>
      </c>
      <c r="E153" s="16">
        <v>42195</v>
      </c>
      <c r="F153" s="21" t="s">
        <v>433</v>
      </c>
      <c r="G153" s="6" t="s">
        <v>138</v>
      </c>
      <c r="H153" s="9">
        <v>400</v>
      </c>
      <c r="I153" s="22" t="s">
        <v>86</v>
      </c>
      <c r="J153" s="13">
        <f t="shared" si="14"/>
        <v>138442</v>
      </c>
      <c r="K153" s="9">
        <v>231</v>
      </c>
      <c r="L153" s="14">
        <v>2778.3</v>
      </c>
      <c r="M153" s="14">
        <v>2778.3</v>
      </c>
      <c r="N153" s="14">
        <v>3893.93</v>
      </c>
      <c r="O153" s="14">
        <f t="shared" si="19"/>
        <v>-1115.6299999999997</v>
      </c>
      <c r="P153" s="14">
        <v>50</v>
      </c>
      <c r="Q153" s="21">
        <f t="shared" ref="Q153:Q160" si="20">O153/2</f>
        <v>-557.81499999999983</v>
      </c>
      <c r="R153" s="6" t="s">
        <v>130</v>
      </c>
      <c r="S153" s="6" t="s">
        <v>55</v>
      </c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</row>
    <row r="154" spans="1:252" s="24" customFormat="1" ht="20" customHeight="1">
      <c r="A154" s="29">
        <v>144</v>
      </c>
      <c r="B154" s="1">
        <v>0.33</v>
      </c>
      <c r="C154" s="15" t="s">
        <v>31</v>
      </c>
      <c r="D154" s="53" t="s">
        <v>21</v>
      </c>
      <c r="E154" s="16">
        <v>42171</v>
      </c>
      <c r="F154" s="21" t="s">
        <v>322</v>
      </c>
      <c r="G154" s="6" t="s">
        <v>186</v>
      </c>
      <c r="H154" s="9">
        <v>450</v>
      </c>
      <c r="I154" s="22" t="s">
        <v>57</v>
      </c>
      <c r="J154" s="13">
        <f t="shared" si="14"/>
        <v>138892</v>
      </c>
      <c r="K154" s="9">
        <v>169</v>
      </c>
      <c r="L154" s="14">
        <v>2391.04</v>
      </c>
      <c r="M154" s="14">
        <v>2391.04</v>
      </c>
      <c r="N154" s="14">
        <v>3826.53</v>
      </c>
      <c r="O154" s="14">
        <f t="shared" si="19"/>
        <v>-1435.4900000000002</v>
      </c>
      <c r="P154" s="14">
        <v>50</v>
      </c>
      <c r="Q154" s="21">
        <f t="shared" si="20"/>
        <v>-717.74500000000012</v>
      </c>
      <c r="R154" s="6" t="s">
        <v>130</v>
      </c>
      <c r="S154" s="6" t="s">
        <v>235</v>
      </c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</row>
    <row r="155" spans="1:252" s="24" customFormat="1" ht="20" customHeight="1">
      <c r="A155" s="29">
        <v>145</v>
      </c>
      <c r="B155" s="1">
        <v>0.5</v>
      </c>
      <c r="C155" s="15" t="s">
        <v>31</v>
      </c>
      <c r="D155" s="53" t="s">
        <v>22</v>
      </c>
      <c r="E155" s="16">
        <v>42167</v>
      </c>
      <c r="F155" s="21" t="s">
        <v>434</v>
      </c>
      <c r="G155" s="6" t="s">
        <v>142</v>
      </c>
      <c r="H155" s="9">
        <v>400</v>
      </c>
      <c r="I155" s="22" t="s">
        <v>435</v>
      </c>
      <c r="J155" s="13">
        <f t="shared" si="14"/>
        <v>139292</v>
      </c>
      <c r="K155" s="9">
        <v>7</v>
      </c>
      <c r="L155" s="14">
        <v>65.25</v>
      </c>
      <c r="M155" s="14">
        <v>65.25</v>
      </c>
      <c r="N155" s="14">
        <v>2267.29</v>
      </c>
      <c r="O155" s="14">
        <f t="shared" si="19"/>
        <v>-2202.04</v>
      </c>
      <c r="P155" s="14">
        <v>50</v>
      </c>
      <c r="Q155" s="21">
        <f t="shared" si="20"/>
        <v>-1101.02</v>
      </c>
      <c r="R155" s="6" t="s">
        <v>130</v>
      </c>
      <c r="S155" s="6" t="s">
        <v>235</v>
      </c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</row>
    <row r="156" spans="1:252" s="24" customFormat="1" ht="20" customHeight="1">
      <c r="A156" s="29">
        <v>146</v>
      </c>
      <c r="B156" s="1">
        <v>0.5</v>
      </c>
      <c r="C156" s="15" t="s">
        <v>20</v>
      </c>
      <c r="D156" s="53" t="s">
        <v>32</v>
      </c>
      <c r="E156" s="16">
        <v>42154</v>
      </c>
      <c r="F156" s="21" t="s">
        <v>372</v>
      </c>
      <c r="G156" s="6" t="s">
        <v>29</v>
      </c>
      <c r="H156" s="9">
        <v>655</v>
      </c>
      <c r="I156" s="22" t="s">
        <v>304</v>
      </c>
      <c r="J156" s="13">
        <f t="shared" si="14"/>
        <v>139947</v>
      </c>
      <c r="K156" s="9">
        <v>281</v>
      </c>
      <c r="L156" s="14">
        <v>11355.56</v>
      </c>
      <c r="M156" s="14">
        <f>L156+310.5</f>
        <v>11666.06</v>
      </c>
      <c r="N156" s="14">
        <v>22677.1</v>
      </c>
      <c r="O156" s="14">
        <f t="shared" si="19"/>
        <v>-11011.039999999999</v>
      </c>
      <c r="P156" s="14">
        <v>50</v>
      </c>
      <c r="Q156" s="21">
        <f t="shared" si="20"/>
        <v>-5505.5199999999995</v>
      </c>
      <c r="R156" s="6" t="s">
        <v>87</v>
      </c>
      <c r="S156" s="6" t="s">
        <v>283</v>
      </c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</row>
    <row r="157" spans="1:252" s="24" customFormat="1" ht="20" customHeight="1">
      <c r="A157" s="29">
        <v>147</v>
      </c>
      <c r="B157" s="1">
        <v>0.5</v>
      </c>
      <c r="C157" s="15" t="s">
        <v>31</v>
      </c>
      <c r="D157" s="53" t="s">
        <v>306</v>
      </c>
      <c r="E157" s="16" t="s">
        <v>307</v>
      </c>
      <c r="F157" s="21" t="s">
        <v>348</v>
      </c>
      <c r="G157" s="6" t="s">
        <v>186</v>
      </c>
      <c r="H157" s="9">
        <v>550</v>
      </c>
      <c r="I157" s="22" t="s">
        <v>107</v>
      </c>
      <c r="J157" s="13">
        <f t="shared" si="14"/>
        <v>140497</v>
      </c>
      <c r="K157" s="9">
        <v>737</v>
      </c>
      <c r="L157" s="14">
        <v>22547.38</v>
      </c>
      <c r="M157" s="14">
        <v>22547.38</v>
      </c>
      <c r="N157" s="14">
        <f>5680.58+9500+4836.78</f>
        <v>20017.36</v>
      </c>
      <c r="O157" s="14">
        <f t="shared" si="19"/>
        <v>2530.0200000000004</v>
      </c>
      <c r="P157" s="14">
        <v>50</v>
      </c>
      <c r="Q157" s="21">
        <f t="shared" si="20"/>
        <v>1265.0100000000002</v>
      </c>
      <c r="R157" s="6" t="s">
        <v>308</v>
      </c>
      <c r="S157" s="6" t="s">
        <v>55</v>
      </c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</row>
    <row r="158" spans="1:252" s="24" customFormat="1" ht="20" customHeight="1">
      <c r="A158" s="29">
        <v>148</v>
      </c>
      <c r="B158" s="1">
        <v>0.5</v>
      </c>
      <c r="C158" s="15" t="s">
        <v>31</v>
      </c>
      <c r="D158" s="53" t="s">
        <v>27</v>
      </c>
      <c r="E158" s="16">
        <v>42173</v>
      </c>
      <c r="F158" s="21" t="s">
        <v>411</v>
      </c>
      <c r="G158" s="6" t="s">
        <v>186</v>
      </c>
      <c r="H158" s="9">
        <v>425</v>
      </c>
      <c r="I158" s="22" t="s">
        <v>264</v>
      </c>
      <c r="J158" s="13">
        <f t="shared" si="14"/>
        <v>140922</v>
      </c>
      <c r="K158" s="9">
        <v>494</v>
      </c>
      <c r="L158" s="14">
        <v>8817.73</v>
      </c>
      <c r="M158" s="14">
        <v>8817.73</v>
      </c>
      <c r="N158" s="14">
        <v>5872.91</v>
      </c>
      <c r="O158" s="14">
        <v>1190.52</v>
      </c>
      <c r="P158" s="14">
        <v>50</v>
      </c>
      <c r="Q158" s="21">
        <f t="shared" si="20"/>
        <v>595.26</v>
      </c>
      <c r="R158" s="6" t="s">
        <v>42</v>
      </c>
      <c r="S158" s="6" t="s">
        <v>55</v>
      </c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</row>
    <row r="159" spans="1:252" s="24" customFormat="1" ht="20" customHeight="1">
      <c r="A159" s="29">
        <v>149</v>
      </c>
      <c r="B159" s="1">
        <v>0.5</v>
      </c>
      <c r="C159" s="15" t="s">
        <v>31</v>
      </c>
      <c r="D159" s="53" t="s">
        <v>314</v>
      </c>
      <c r="E159" s="16" t="s">
        <v>312</v>
      </c>
      <c r="F159" s="21" t="s">
        <v>445</v>
      </c>
      <c r="G159" s="6" t="s">
        <v>135</v>
      </c>
      <c r="H159" s="9">
        <v>1650</v>
      </c>
      <c r="I159" s="22" t="s">
        <v>313</v>
      </c>
      <c r="J159" s="13">
        <f t="shared" si="14"/>
        <v>142572</v>
      </c>
      <c r="K159" s="9">
        <v>1121</v>
      </c>
      <c r="L159" s="14">
        <v>28929.26</v>
      </c>
      <c r="M159" s="14">
        <v>28929.26</v>
      </c>
      <c r="N159" s="14">
        <v>34479.050000000003</v>
      </c>
      <c r="O159" s="14">
        <f>M159-N159</f>
        <v>-5549.7900000000045</v>
      </c>
      <c r="P159" s="14">
        <v>50</v>
      </c>
      <c r="Q159" s="21">
        <f t="shared" si="20"/>
        <v>-2774.8950000000023</v>
      </c>
      <c r="R159" s="6" t="s">
        <v>170</v>
      </c>
      <c r="S159" s="6" t="s">
        <v>80</v>
      </c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</row>
    <row r="160" spans="1:252" s="24" customFormat="1" ht="20" customHeight="1">
      <c r="A160" s="29">
        <v>150</v>
      </c>
      <c r="B160" s="1">
        <v>0.5</v>
      </c>
      <c r="C160" s="15" t="s">
        <v>31</v>
      </c>
      <c r="D160" s="53" t="s">
        <v>139</v>
      </c>
      <c r="E160" s="16">
        <v>42211</v>
      </c>
      <c r="F160" s="21" t="s">
        <v>465</v>
      </c>
      <c r="G160" s="6" t="s">
        <v>315</v>
      </c>
      <c r="H160" s="9">
        <v>775</v>
      </c>
      <c r="I160" s="22" t="s">
        <v>316</v>
      </c>
      <c r="J160" s="13">
        <f t="shared" si="14"/>
        <v>143347</v>
      </c>
      <c r="K160" s="9">
        <v>396</v>
      </c>
      <c r="L160" s="14">
        <v>8213.19</v>
      </c>
      <c r="M160" s="14">
        <v>8213.19</v>
      </c>
      <c r="N160" s="14">
        <v>11374.41</v>
      </c>
      <c r="O160" s="14">
        <v>-3160.77</v>
      </c>
      <c r="P160" s="14">
        <v>50</v>
      </c>
      <c r="Q160" s="21">
        <f t="shared" si="20"/>
        <v>-1580.385</v>
      </c>
      <c r="R160" s="6" t="s">
        <v>58</v>
      </c>
      <c r="S160" s="6" t="s">
        <v>26</v>
      </c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</row>
    <row r="161" spans="1:252" s="24" customFormat="1" ht="20" customHeight="1">
      <c r="A161" s="9">
        <v>151</v>
      </c>
      <c r="B161" s="1">
        <v>0.5</v>
      </c>
      <c r="C161" s="15" t="s">
        <v>31</v>
      </c>
      <c r="D161" s="53" t="s">
        <v>139</v>
      </c>
      <c r="E161" s="16">
        <v>42197</v>
      </c>
      <c r="F161" s="21" t="s">
        <v>318</v>
      </c>
      <c r="G161" s="6" t="s">
        <v>274</v>
      </c>
      <c r="H161" s="9">
        <v>255</v>
      </c>
      <c r="I161" s="22">
        <v>49.5</v>
      </c>
      <c r="J161" s="13">
        <f t="shared" si="14"/>
        <v>143602</v>
      </c>
      <c r="K161" s="9">
        <v>224</v>
      </c>
      <c r="L161" s="14">
        <v>9060.7999999999993</v>
      </c>
      <c r="M161" s="14">
        <f>L161+654.49</f>
        <v>9715.2899999999991</v>
      </c>
      <c r="N161" s="14">
        <v>8168.66</v>
      </c>
      <c r="O161" s="14">
        <f>M161-N161</f>
        <v>1546.6299999999992</v>
      </c>
      <c r="P161" s="59">
        <v>0.5</v>
      </c>
      <c r="Q161" s="21">
        <f>P161*O161</f>
        <v>773.3149999999996</v>
      </c>
      <c r="R161" s="6" t="s">
        <v>122</v>
      </c>
      <c r="S161" s="6" t="s">
        <v>26</v>
      </c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</row>
    <row r="162" spans="1:252" s="24" customFormat="1" ht="20" customHeight="1">
      <c r="A162" s="29">
        <v>152</v>
      </c>
      <c r="B162" s="1">
        <v>0.5</v>
      </c>
      <c r="C162" s="15" t="s">
        <v>20</v>
      </c>
      <c r="D162" s="53" t="s">
        <v>32</v>
      </c>
      <c r="E162" s="16">
        <v>42287</v>
      </c>
      <c r="F162" s="21" t="s">
        <v>504</v>
      </c>
      <c r="G162" s="6" t="s">
        <v>29</v>
      </c>
      <c r="H162" s="9">
        <v>925</v>
      </c>
      <c r="I162" s="22" t="s">
        <v>320</v>
      </c>
      <c r="J162" s="13">
        <f t="shared" si="14"/>
        <v>144527</v>
      </c>
      <c r="K162" s="9">
        <v>269</v>
      </c>
      <c r="L162" s="14">
        <v>5097.88</v>
      </c>
      <c r="M162" s="14">
        <f>L162+319.63</f>
        <v>5417.51</v>
      </c>
      <c r="N162" s="14">
        <v>11693.53</v>
      </c>
      <c r="O162" s="14">
        <f t="shared" ref="O162:O172" si="21">M162-N162</f>
        <v>-6276.02</v>
      </c>
      <c r="P162" s="14">
        <v>50</v>
      </c>
      <c r="Q162" s="21">
        <f>O162/2</f>
        <v>-3138.01</v>
      </c>
      <c r="R162" s="6" t="s">
        <v>130</v>
      </c>
      <c r="S162" s="6" t="s">
        <v>55</v>
      </c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</row>
    <row r="163" spans="1:252" s="24" customFormat="1" ht="20" customHeight="1">
      <c r="A163" s="29">
        <v>153</v>
      </c>
      <c r="B163" s="1">
        <v>0.4</v>
      </c>
      <c r="C163" s="15" t="s">
        <v>328</v>
      </c>
      <c r="D163" s="53" t="s">
        <v>27</v>
      </c>
      <c r="E163" s="16">
        <v>42264</v>
      </c>
      <c r="F163" s="21" t="s">
        <v>587</v>
      </c>
      <c r="G163" s="6" t="s">
        <v>324</v>
      </c>
      <c r="H163" s="9">
        <v>300</v>
      </c>
      <c r="I163" s="22" t="s">
        <v>102</v>
      </c>
      <c r="J163" s="13">
        <f t="shared" si="14"/>
        <v>144827</v>
      </c>
      <c r="K163" s="9">
        <v>42</v>
      </c>
      <c r="L163" s="14">
        <v>782.58</v>
      </c>
      <c r="M163" s="14">
        <v>782.58</v>
      </c>
      <c r="N163" s="14">
        <v>3323.64</v>
      </c>
      <c r="O163" s="14">
        <f t="shared" si="21"/>
        <v>-2541.06</v>
      </c>
      <c r="P163" s="14">
        <v>50</v>
      </c>
      <c r="Q163" s="21">
        <f>O163/2</f>
        <v>-1270.53</v>
      </c>
      <c r="R163" s="6" t="s">
        <v>325</v>
      </c>
      <c r="S163" s="6" t="s">
        <v>326</v>
      </c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</row>
    <row r="164" spans="1:252" s="24" customFormat="1" ht="20" customHeight="1">
      <c r="A164" s="29">
        <v>154</v>
      </c>
      <c r="B164" s="1">
        <v>0.4</v>
      </c>
      <c r="C164" s="15" t="s">
        <v>328</v>
      </c>
      <c r="D164" s="53" t="s">
        <v>32</v>
      </c>
      <c r="E164" s="16">
        <v>42266</v>
      </c>
      <c r="F164" s="21" t="s">
        <v>367</v>
      </c>
      <c r="G164" s="6" t="s">
        <v>85</v>
      </c>
      <c r="H164" s="9">
        <v>300</v>
      </c>
      <c r="I164" s="22" t="s">
        <v>327</v>
      </c>
      <c r="J164" s="13">
        <f t="shared" si="14"/>
        <v>145127</v>
      </c>
      <c r="K164" s="9">
        <v>107</v>
      </c>
      <c r="L164" s="14">
        <v>1487.49</v>
      </c>
      <c r="M164" s="14">
        <v>1487.49</v>
      </c>
      <c r="N164" s="14">
        <v>2927.95</v>
      </c>
      <c r="O164" s="14">
        <f t="shared" si="21"/>
        <v>-1440.4599999999998</v>
      </c>
      <c r="P164" s="14">
        <v>50</v>
      </c>
      <c r="Q164" s="21">
        <f>O164/2</f>
        <v>-720.2299999999999</v>
      </c>
      <c r="R164" s="6" t="s">
        <v>41</v>
      </c>
      <c r="S164" s="6" t="s">
        <v>80</v>
      </c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</row>
    <row r="165" spans="1:252" s="24" customFormat="1" ht="20" customHeight="1">
      <c r="A165" s="29">
        <v>155</v>
      </c>
      <c r="B165" s="1">
        <v>0.5</v>
      </c>
      <c r="C165" s="15" t="s">
        <v>31</v>
      </c>
      <c r="D165" s="53" t="s">
        <v>32</v>
      </c>
      <c r="E165" s="16">
        <v>42266</v>
      </c>
      <c r="F165" s="21" t="s">
        <v>544</v>
      </c>
      <c r="G165" s="6" t="s">
        <v>110</v>
      </c>
      <c r="H165" s="9">
        <v>275</v>
      </c>
      <c r="I165" s="22" t="s">
        <v>38</v>
      </c>
      <c r="J165" s="13">
        <f t="shared" si="14"/>
        <v>145402</v>
      </c>
      <c r="K165" s="9">
        <v>164</v>
      </c>
      <c r="L165" s="14">
        <v>2613.2199999999998</v>
      </c>
      <c r="M165" s="14">
        <v>2613.2199999999998</v>
      </c>
      <c r="N165" s="14">
        <v>3444.9</v>
      </c>
      <c r="O165" s="14">
        <f t="shared" si="21"/>
        <v>-831.68000000000029</v>
      </c>
      <c r="P165" s="14">
        <v>50</v>
      </c>
      <c r="Q165" s="21">
        <f>O165/2</f>
        <v>-415.84000000000015</v>
      </c>
      <c r="R165" s="6" t="s">
        <v>105</v>
      </c>
      <c r="S165" s="6" t="s">
        <v>55</v>
      </c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</row>
    <row r="166" spans="1:252" s="24" customFormat="1" ht="20" customHeight="1">
      <c r="A166" s="29">
        <v>156</v>
      </c>
      <c r="B166" s="1">
        <v>0.16</v>
      </c>
      <c r="C166" s="15" t="s">
        <v>329</v>
      </c>
      <c r="D166" s="53" t="s">
        <v>32</v>
      </c>
      <c r="E166" s="16">
        <v>42140</v>
      </c>
      <c r="F166" s="21" t="s">
        <v>515</v>
      </c>
      <c r="G166" s="6" t="s">
        <v>330</v>
      </c>
      <c r="H166" s="9">
        <v>325</v>
      </c>
      <c r="I166" s="22" t="s">
        <v>37</v>
      </c>
      <c r="J166" s="13">
        <f t="shared" si="14"/>
        <v>145727</v>
      </c>
      <c r="K166" s="9">
        <v>138</v>
      </c>
      <c r="L166" s="14">
        <v>2854.53</v>
      </c>
      <c r="M166" s="14">
        <f>L166</f>
        <v>2854.53</v>
      </c>
      <c r="N166" s="14">
        <v>5274</v>
      </c>
      <c r="O166" s="14">
        <f t="shared" si="21"/>
        <v>-2419.4699999999998</v>
      </c>
      <c r="P166" s="14">
        <v>16.5</v>
      </c>
      <c r="Q166" s="21">
        <f>-806.49/2</f>
        <v>-403.245</v>
      </c>
      <c r="R166" s="6" t="s">
        <v>87</v>
      </c>
      <c r="S166" s="6" t="s">
        <v>331</v>
      </c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</row>
    <row r="167" spans="1:252" s="24" customFormat="1" ht="20" customHeight="1">
      <c r="A167" s="29">
        <v>157</v>
      </c>
      <c r="B167" s="1">
        <v>0.5</v>
      </c>
      <c r="C167" s="15" t="s">
        <v>20</v>
      </c>
      <c r="D167" s="30" t="s">
        <v>22</v>
      </c>
      <c r="E167" s="16">
        <v>42307</v>
      </c>
      <c r="F167" s="21" t="s">
        <v>332</v>
      </c>
      <c r="G167" s="6" t="s">
        <v>29</v>
      </c>
      <c r="H167" s="9">
        <v>925</v>
      </c>
      <c r="I167" s="22" t="s">
        <v>333</v>
      </c>
      <c r="J167" s="13">
        <f t="shared" si="14"/>
        <v>146652</v>
      </c>
      <c r="K167" s="9">
        <v>922</v>
      </c>
      <c r="L167" s="14">
        <v>31670.7</v>
      </c>
      <c r="M167" s="14">
        <f>L167+1240.49</f>
        <v>32911.19</v>
      </c>
      <c r="N167" s="14">
        <v>30231.15</v>
      </c>
      <c r="O167" s="14">
        <f t="shared" si="21"/>
        <v>2680.0400000000009</v>
      </c>
      <c r="P167" s="14">
        <v>50</v>
      </c>
      <c r="Q167" s="21">
        <f>O167/2</f>
        <v>1340.0200000000004</v>
      </c>
      <c r="R167" s="6"/>
      <c r="S167" s="6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</row>
    <row r="168" spans="1:252" s="24" customFormat="1" ht="20" customHeight="1">
      <c r="A168" s="29">
        <v>158</v>
      </c>
      <c r="B168" s="1">
        <v>0.5</v>
      </c>
      <c r="C168" s="15" t="s">
        <v>31</v>
      </c>
      <c r="D168" s="53" t="s">
        <v>75</v>
      </c>
      <c r="E168" s="16">
        <v>42277</v>
      </c>
      <c r="F168" s="21" t="s">
        <v>400</v>
      </c>
      <c r="G168" s="6" t="s">
        <v>85</v>
      </c>
      <c r="H168" s="9">
        <v>300</v>
      </c>
      <c r="I168" s="22" t="s">
        <v>112</v>
      </c>
      <c r="J168" s="13">
        <f t="shared" si="14"/>
        <v>146952</v>
      </c>
      <c r="K168" s="9">
        <v>226</v>
      </c>
      <c r="L168" s="14">
        <v>3441.34</v>
      </c>
      <c r="M168" s="14">
        <v>3441.34</v>
      </c>
      <c r="N168" s="14">
        <v>3117.86</v>
      </c>
      <c r="O168" s="14">
        <f t="shared" si="21"/>
        <v>323.48</v>
      </c>
      <c r="P168" s="14">
        <v>50</v>
      </c>
      <c r="Q168" s="21">
        <f>O168/2</f>
        <v>161.74</v>
      </c>
      <c r="R168" s="6" t="s">
        <v>58</v>
      </c>
      <c r="S168" s="6" t="s">
        <v>55</v>
      </c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</row>
    <row r="169" spans="1:252" s="24" customFormat="1" ht="20" customHeight="1">
      <c r="A169" s="29">
        <v>159</v>
      </c>
      <c r="B169" s="1">
        <v>0.5</v>
      </c>
      <c r="C169" s="15" t="s">
        <v>20</v>
      </c>
      <c r="D169" s="53" t="s">
        <v>23</v>
      </c>
      <c r="E169" s="16">
        <v>42156</v>
      </c>
      <c r="F169" s="21" t="s">
        <v>381</v>
      </c>
      <c r="G169" s="6" t="s">
        <v>186</v>
      </c>
      <c r="H169" s="9">
        <v>500</v>
      </c>
      <c r="I169" s="22" t="s">
        <v>81</v>
      </c>
      <c r="J169" s="13">
        <f t="shared" si="14"/>
        <v>147452</v>
      </c>
      <c r="K169" s="9">
        <v>266</v>
      </c>
      <c r="L169" s="14">
        <v>5215.8999999999996</v>
      </c>
      <c r="M169" s="14">
        <f>L169+217.66</f>
        <v>5433.5599999999995</v>
      </c>
      <c r="N169" s="14">
        <v>10843.45</v>
      </c>
      <c r="O169" s="14">
        <f t="shared" si="21"/>
        <v>-5409.8900000000012</v>
      </c>
      <c r="P169" s="14">
        <v>50</v>
      </c>
      <c r="Q169" s="21">
        <f>O169/2</f>
        <v>-2704.9450000000006</v>
      </c>
      <c r="R169" s="6" t="s">
        <v>337</v>
      </c>
      <c r="S169" s="6" t="s">
        <v>26</v>
      </c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</row>
    <row r="170" spans="1:252" s="24" customFormat="1" ht="20" customHeight="1">
      <c r="A170" s="29">
        <v>160</v>
      </c>
      <c r="B170" s="1">
        <v>0.5</v>
      </c>
      <c r="C170" s="15" t="s">
        <v>31</v>
      </c>
      <c r="D170" s="53" t="s">
        <v>32</v>
      </c>
      <c r="E170" s="16">
        <v>42175</v>
      </c>
      <c r="F170" s="21" t="s">
        <v>409</v>
      </c>
      <c r="G170" s="6" t="s">
        <v>150</v>
      </c>
      <c r="H170" s="9">
        <v>120</v>
      </c>
      <c r="I170" s="22">
        <v>10</v>
      </c>
      <c r="J170" s="13">
        <f t="shared" si="14"/>
        <v>147572</v>
      </c>
      <c r="K170" s="9">
        <v>123</v>
      </c>
      <c r="L170" s="14">
        <v>1070.0999999999999</v>
      </c>
      <c r="M170" s="14">
        <v>1070.0999999999999</v>
      </c>
      <c r="N170" s="14">
        <v>1024.0999999999999</v>
      </c>
      <c r="O170" s="14">
        <f t="shared" si="21"/>
        <v>46</v>
      </c>
      <c r="P170" s="14">
        <v>50</v>
      </c>
      <c r="Q170" s="21">
        <f>O170/2</f>
        <v>23</v>
      </c>
      <c r="R170" s="6" t="s">
        <v>39</v>
      </c>
      <c r="S170" s="6" t="s">
        <v>55</v>
      </c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</row>
    <row r="171" spans="1:252" s="24" customFormat="1" ht="20" customHeight="1">
      <c r="A171" s="29">
        <v>161</v>
      </c>
      <c r="B171" s="1">
        <v>0.25</v>
      </c>
      <c r="C171" s="15" t="s">
        <v>339</v>
      </c>
      <c r="D171" s="53" t="s">
        <v>22</v>
      </c>
      <c r="E171" s="16">
        <v>42202</v>
      </c>
      <c r="F171" s="21" t="s">
        <v>408</v>
      </c>
      <c r="G171" s="6" t="s">
        <v>252</v>
      </c>
      <c r="H171" s="9">
        <v>450</v>
      </c>
      <c r="I171" s="22" t="s">
        <v>340</v>
      </c>
      <c r="J171" s="13">
        <f t="shared" si="14"/>
        <v>148022</v>
      </c>
      <c r="K171" s="9">
        <v>538</v>
      </c>
      <c r="L171" s="14">
        <v>8436.7000000000007</v>
      </c>
      <c r="M171" s="14">
        <f>L171+814.09</f>
        <v>9250.7900000000009</v>
      </c>
      <c r="N171" s="14">
        <v>5718.31</v>
      </c>
      <c r="O171" s="14">
        <f t="shared" si="21"/>
        <v>3532.4800000000005</v>
      </c>
      <c r="P171" s="14">
        <v>25</v>
      </c>
      <c r="Q171" s="21">
        <f>O171/4</f>
        <v>883.12000000000012</v>
      </c>
      <c r="R171" s="6" t="s">
        <v>127</v>
      </c>
      <c r="S171" s="6" t="s">
        <v>83</v>
      </c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</row>
    <row r="172" spans="1:252" s="24" customFormat="1" ht="20" customHeight="1">
      <c r="A172" s="29">
        <v>162</v>
      </c>
      <c r="B172" s="1">
        <v>0.1</v>
      </c>
      <c r="C172" s="15" t="s">
        <v>341</v>
      </c>
      <c r="D172" s="53" t="s">
        <v>32</v>
      </c>
      <c r="E172" s="16">
        <v>42266</v>
      </c>
      <c r="F172" s="21" t="s">
        <v>342</v>
      </c>
      <c r="G172" s="6" t="s">
        <v>343</v>
      </c>
      <c r="H172" s="9"/>
      <c r="I172" s="22">
        <v>27.5</v>
      </c>
      <c r="J172" s="13">
        <f t="shared" si="14"/>
        <v>148022</v>
      </c>
      <c r="K172" s="9">
        <v>365</v>
      </c>
      <c r="L172" s="14">
        <v>8701.89</v>
      </c>
      <c r="M172" s="14">
        <v>8701.89</v>
      </c>
      <c r="N172" s="14">
        <v>15614.96</v>
      </c>
      <c r="O172" s="14">
        <f t="shared" si="21"/>
        <v>-6913.07</v>
      </c>
      <c r="P172" s="59">
        <v>0.1</v>
      </c>
      <c r="Q172" s="21">
        <f>P172*O172</f>
        <v>-691.30700000000002</v>
      </c>
      <c r="R172" s="6"/>
      <c r="S172" s="6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</row>
    <row r="173" spans="1:252" s="24" customFormat="1" ht="20" customHeight="1">
      <c r="A173" s="29">
        <v>163</v>
      </c>
      <c r="B173" s="1">
        <v>0.5</v>
      </c>
      <c r="C173" s="15" t="s">
        <v>31</v>
      </c>
      <c r="D173" s="53" t="s">
        <v>75</v>
      </c>
      <c r="E173" s="16">
        <v>42313</v>
      </c>
      <c r="F173" s="21" t="s">
        <v>497</v>
      </c>
      <c r="G173" s="6" t="s">
        <v>24</v>
      </c>
      <c r="H173" s="9">
        <v>2275</v>
      </c>
      <c r="I173" s="22">
        <v>37.5</v>
      </c>
      <c r="J173" s="13">
        <f t="shared" si="14"/>
        <v>150297</v>
      </c>
      <c r="K173" s="9">
        <v>1256</v>
      </c>
      <c r="L173" s="14">
        <v>40970.720000000001</v>
      </c>
      <c r="M173" s="14">
        <v>40970.720000000001</v>
      </c>
      <c r="N173" s="14">
        <v>53607.45</v>
      </c>
      <c r="O173" s="14">
        <f t="shared" ref="O173:O181" si="22">M173-N173</f>
        <v>-12636.729999999996</v>
      </c>
      <c r="P173" s="14">
        <v>50</v>
      </c>
      <c r="Q173" s="21">
        <f>O173/2</f>
        <v>-6318.364999999998</v>
      </c>
      <c r="R173" s="6" t="s">
        <v>346</v>
      </c>
      <c r="S173" s="6" t="s">
        <v>80</v>
      </c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</row>
    <row r="174" spans="1:252" s="24" customFormat="1" ht="20" customHeight="1">
      <c r="A174" s="29">
        <v>164</v>
      </c>
      <c r="B174" s="1">
        <v>0.45</v>
      </c>
      <c r="C174" s="15" t="s">
        <v>328</v>
      </c>
      <c r="D174" s="53" t="s">
        <v>32</v>
      </c>
      <c r="E174" s="16">
        <v>42266</v>
      </c>
      <c r="F174" s="21" t="s">
        <v>503</v>
      </c>
      <c r="G174" s="6" t="s">
        <v>56</v>
      </c>
      <c r="H174" s="9">
        <v>300</v>
      </c>
      <c r="I174" s="22" t="s">
        <v>145</v>
      </c>
      <c r="J174" s="13">
        <f t="shared" si="14"/>
        <v>150597</v>
      </c>
      <c r="K174" s="9">
        <v>253</v>
      </c>
      <c r="L174" s="14">
        <v>5580.72</v>
      </c>
      <c r="M174" s="14">
        <v>5580.72</v>
      </c>
      <c r="N174" s="14">
        <v>5578.63</v>
      </c>
      <c r="O174" s="14">
        <f t="shared" si="22"/>
        <v>2.0900000000001455</v>
      </c>
      <c r="P174" s="14">
        <v>45</v>
      </c>
      <c r="Q174" s="21">
        <v>0.95</v>
      </c>
      <c r="R174" s="6" t="s">
        <v>347</v>
      </c>
      <c r="S174" s="6" t="s">
        <v>25</v>
      </c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</row>
    <row r="175" spans="1:252" s="24" customFormat="1" ht="20" customHeight="1">
      <c r="A175" s="29">
        <v>165</v>
      </c>
      <c r="B175" s="1">
        <v>0.33</v>
      </c>
      <c r="C175" s="15" t="s">
        <v>351</v>
      </c>
      <c r="D175" s="53" t="s">
        <v>139</v>
      </c>
      <c r="E175" s="16">
        <v>42281</v>
      </c>
      <c r="F175" s="21" t="s">
        <v>383</v>
      </c>
      <c r="G175" s="6" t="s">
        <v>29</v>
      </c>
      <c r="H175" s="9">
        <v>925</v>
      </c>
      <c r="I175" s="22" t="s">
        <v>81</v>
      </c>
      <c r="J175" s="13">
        <f t="shared" si="14"/>
        <v>151522</v>
      </c>
      <c r="K175" s="9">
        <v>621</v>
      </c>
      <c r="L175" s="14">
        <v>12396.01</v>
      </c>
      <c r="M175" s="14">
        <f>L175+741.25</f>
        <v>13137.26</v>
      </c>
      <c r="N175" s="14">
        <v>13863.53</v>
      </c>
      <c r="O175" s="14">
        <f t="shared" si="22"/>
        <v>-726.27000000000044</v>
      </c>
      <c r="P175" s="14">
        <v>50</v>
      </c>
      <c r="Q175" s="21">
        <v>-118.55</v>
      </c>
      <c r="R175" s="6" t="s">
        <v>350</v>
      </c>
      <c r="S175" s="6" t="s">
        <v>26</v>
      </c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</row>
    <row r="176" spans="1:252" s="24" customFormat="1" ht="20" customHeight="1">
      <c r="A176" s="29">
        <v>166</v>
      </c>
      <c r="B176" s="1">
        <v>0.5</v>
      </c>
      <c r="C176" s="15" t="s">
        <v>20</v>
      </c>
      <c r="D176" s="53" t="s">
        <v>21</v>
      </c>
      <c r="E176" s="16">
        <v>42276</v>
      </c>
      <c r="F176" s="21" t="s">
        <v>559</v>
      </c>
      <c r="G176" s="6" t="s">
        <v>29</v>
      </c>
      <c r="H176" s="9">
        <v>925</v>
      </c>
      <c r="I176" s="22" t="s">
        <v>358</v>
      </c>
      <c r="J176" s="13">
        <f t="shared" si="14"/>
        <v>152447</v>
      </c>
      <c r="K176" s="9">
        <v>415</v>
      </c>
      <c r="L176" s="14">
        <v>9748.57</v>
      </c>
      <c r="M176" s="14">
        <f>L176+505.33</f>
        <v>10253.9</v>
      </c>
      <c r="N176" s="14">
        <v>16339.45</v>
      </c>
      <c r="O176" s="14">
        <f t="shared" si="22"/>
        <v>-6085.5500000000011</v>
      </c>
      <c r="P176" s="14">
        <v>50</v>
      </c>
      <c r="Q176" s="21">
        <f>O176/2</f>
        <v>-3042.7750000000005</v>
      </c>
      <c r="R176" s="6" t="s">
        <v>170</v>
      </c>
      <c r="S176" s="6" t="s">
        <v>26</v>
      </c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</row>
    <row r="177" spans="1:252" s="24" customFormat="1" ht="20" customHeight="1">
      <c r="A177" s="29">
        <v>167</v>
      </c>
      <c r="B177" s="1">
        <v>0.33</v>
      </c>
      <c r="C177" s="15" t="s">
        <v>199</v>
      </c>
      <c r="D177" s="53" t="s">
        <v>21</v>
      </c>
      <c r="E177" s="16">
        <v>42283</v>
      </c>
      <c r="F177" s="21" t="s">
        <v>359</v>
      </c>
      <c r="G177" s="6" t="s">
        <v>56</v>
      </c>
      <c r="H177" s="9">
        <v>300</v>
      </c>
      <c r="I177" s="22" t="s">
        <v>200</v>
      </c>
      <c r="J177" s="13">
        <f t="shared" si="14"/>
        <v>152747</v>
      </c>
      <c r="K177" s="9">
        <v>204</v>
      </c>
      <c r="L177" s="14">
        <v>2831.85</v>
      </c>
      <c r="M177" s="14">
        <v>2831.85</v>
      </c>
      <c r="N177" s="14">
        <v>3551.32</v>
      </c>
      <c r="O177" s="14">
        <f t="shared" si="22"/>
        <v>-719.47000000000025</v>
      </c>
      <c r="P177" s="14">
        <v>50</v>
      </c>
      <c r="Q177" s="21">
        <f>O177/3</f>
        <v>-239.82333333333341</v>
      </c>
      <c r="R177" s="6" t="s">
        <v>360</v>
      </c>
      <c r="S177" s="6" t="s">
        <v>80</v>
      </c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</row>
    <row r="178" spans="1:252" s="24" customFormat="1" ht="20" customHeight="1">
      <c r="A178" s="29">
        <v>168</v>
      </c>
      <c r="B178" s="1">
        <v>0.33</v>
      </c>
      <c r="C178" s="15" t="s">
        <v>361</v>
      </c>
      <c r="D178" s="53" t="s">
        <v>22</v>
      </c>
      <c r="E178" s="16">
        <v>42279</v>
      </c>
      <c r="F178" s="21" t="s">
        <v>604</v>
      </c>
      <c r="G178" s="6" t="s">
        <v>186</v>
      </c>
      <c r="H178" s="9">
        <v>500</v>
      </c>
      <c r="I178" s="22" t="s">
        <v>30</v>
      </c>
      <c r="J178" s="13">
        <f t="shared" si="14"/>
        <v>153247</v>
      </c>
      <c r="K178" s="9">
        <v>536</v>
      </c>
      <c r="L178" s="14">
        <v>11752.92</v>
      </c>
      <c r="M178" s="14">
        <v>11752.92</v>
      </c>
      <c r="N178" s="14">
        <v>10286.049999999999</v>
      </c>
      <c r="O178" s="14">
        <f t="shared" si="22"/>
        <v>1466.8700000000008</v>
      </c>
      <c r="P178" s="14">
        <v>50</v>
      </c>
      <c r="Q178" s="21">
        <f>O178/3</f>
        <v>488.95666666666693</v>
      </c>
      <c r="R178" s="6" t="s">
        <v>130</v>
      </c>
      <c r="S178" s="6" t="s">
        <v>83</v>
      </c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</row>
    <row r="179" spans="1:252" s="24" customFormat="1" ht="20" customHeight="1">
      <c r="A179" s="29">
        <v>169</v>
      </c>
      <c r="B179" s="1">
        <v>0.5</v>
      </c>
      <c r="C179" s="15" t="s">
        <v>20</v>
      </c>
      <c r="D179" s="53" t="s">
        <v>21</v>
      </c>
      <c r="E179" s="16">
        <v>42269</v>
      </c>
      <c r="F179" s="21" t="s">
        <v>362</v>
      </c>
      <c r="G179" s="6" t="s">
        <v>24</v>
      </c>
      <c r="H179" s="9">
        <v>2200</v>
      </c>
      <c r="I179" s="22" t="s">
        <v>219</v>
      </c>
      <c r="J179" s="13">
        <f t="shared" si="14"/>
        <v>155447</v>
      </c>
      <c r="K179" s="9">
        <v>2278</v>
      </c>
      <c r="L179" s="14">
        <v>74390.820000000007</v>
      </c>
      <c r="M179" s="14">
        <f>L179+2893.21</f>
        <v>77284.030000000013</v>
      </c>
      <c r="N179" s="14">
        <v>69449.570000000007</v>
      </c>
      <c r="O179" s="14">
        <f t="shared" si="22"/>
        <v>7834.4600000000064</v>
      </c>
      <c r="P179" s="14">
        <v>50</v>
      </c>
      <c r="Q179" s="21">
        <f>O179/2</f>
        <v>3917.2300000000032</v>
      </c>
      <c r="R179" s="6" t="s">
        <v>70</v>
      </c>
      <c r="S179" s="6" t="s">
        <v>26</v>
      </c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</row>
    <row r="180" spans="1:252" s="24" customFormat="1" ht="20" customHeight="1">
      <c r="A180" s="29">
        <v>170</v>
      </c>
      <c r="B180" s="1">
        <v>0.5</v>
      </c>
      <c r="C180" s="15" t="s">
        <v>20</v>
      </c>
      <c r="D180" s="53" t="s">
        <v>22</v>
      </c>
      <c r="E180" s="16">
        <v>42258</v>
      </c>
      <c r="F180" s="21" t="s">
        <v>364</v>
      </c>
      <c r="G180" s="6" t="s">
        <v>29</v>
      </c>
      <c r="H180" s="9">
        <v>925</v>
      </c>
      <c r="I180" s="22" t="s">
        <v>365</v>
      </c>
      <c r="J180" s="13">
        <f t="shared" si="14"/>
        <v>156372</v>
      </c>
      <c r="K180" s="9">
        <v>925</v>
      </c>
      <c r="L180" s="14">
        <v>29766.5</v>
      </c>
      <c r="M180" s="14">
        <f>L180+1229.83</f>
        <v>30996.33</v>
      </c>
      <c r="N180" s="14">
        <v>27763.88</v>
      </c>
      <c r="O180" s="14">
        <f t="shared" si="22"/>
        <v>3232.4500000000007</v>
      </c>
      <c r="P180" s="14">
        <v>33</v>
      </c>
      <c r="Q180" s="21">
        <v>1282.45</v>
      </c>
      <c r="R180" s="6" t="s">
        <v>134</v>
      </c>
      <c r="S180" s="6" t="s">
        <v>366</v>
      </c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</row>
    <row r="181" spans="1:252" s="24" customFormat="1" ht="20" customHeight="1">
      <c r="A181" s="29">
        <v>171</v>
      </c>
      <c r="B181" s="1">
        <v>0.5</v>
      </c>
      <c r="C181" s="15" t="s">
        <v>20</v>
      </c>
      <c r="D181" s="53" t="s">
        <v>22</v>
      </c>
      <c r="E181" s="16">
        <v>42314</v>
      </c>
      <c r="F181" s="21" t="s">
        <v>369</v>
      </c>
      <c r="G181" s="6" t="s">
        <v>24</v>
      </c>
      <c r="H181" s="9">
        <v>2200</v>
      </c>
      <c r="I181" s="22" t="s">
        <v>370</v>
      </c>
      <c r="J181" s="13">
        <f t="shared" si="14"/>
        <v>158572</v>
      </c>
      <c r="K181" s="9">
        <v>2308</v>
      </c>
      <c r="L181" s="14">
        <v>95426.32</v>
      </c>
      <c r="M181" s="14">
        <f>L181+2990.5</f>
        <v>98416.82</v>
      </c>
      <c r="N181" s="14">
        <v>86615.57</v>
      </c>
      <c r="O181" s="14">
        <f t="shared" si="22"/>
        <v>11801.25</v>
      </c>
      <c r="P181" s="14">
        <v>50</v>
      </c>
      <c r="Q181" s="21">
        <f>O181/2</f>
        <v>5900.625</v>
      </c>
      <c r="R181" s="6" t="s">
        <v>371</v>
      </c>
      <c r="S181" s="6" t="s">
        <v>26</v>
      </c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</row>
    <row r="182" spans="1:252" s="24" customFormat="1" ht="20" customHeight="1">
      <c r="A182" s="29">
        <v>172</v>
      </c>
      <c r="B182" s="1">
        <v>0.5</v>
      </c>
      <c r="C182" s="15" t="s">
        <v>31</v>
      </c>
      <c r="D182" s="53" t="s">
        <v>32</v>
      </c>
      <c r="E182" s="16">
        <v>42259</v>
      </c>
      <c r="F182" s="21" t="s">
        <v>442</v>
      </c>
      <c r="G182" s="6" t="s">
        <v>33</v>
      </c>
      <c r="H182" s="9">
        <v>150</v>
      </c>
      <c r="I182" s="22">
        <v>20</v>
      </c>
      <c r="J182" s="13">
        <f t="shared" si="14"/>
        <v>158722</v>
      </c>
      <c r="K182" s="9">
        <v>67</v>
      </c>
      <c r="L182" s="14">
        <v>1165.1300000000001</v>
      </c>
      <c r="M182" s="14">
        <v>1165.1300000000001</v>
      </c>
      <c r="N182" s="14">
        <v>2333.13</v>
      </c>
      <c r="O182" s="14">
        <f>M182-N182</f>
        <v>-1168</v>
      </c>
      <c r="P182" s="14">
        <v>50</v>
      </c>
      <c r="Q182" s="21">
        <f>O182/2</f>
        <v>-584</v>
      </c>
      <c r="R182" s="6" t="s">
        <v>347</v>
      </c>
      <c r="S182" s="6" t="s">
        <v>26</v>
      </c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</row>
    <row r="183" spans="1:252" s="24" customFormat="1" ht="20" customHeight="1">
      <c r="A183" s="29">
        <v>173</v>
      </c>
      <c r="B183" s="1">
        <v>0.17</v>
      </c>
      <c r="C183" s="15" t="s">
        <v>374</v>
      </c>
      <c r="D183" s="53" t="s">
        <v>75</v>
      </c>
      <c r="E183" s="16">
        <v>42165</v>
      </c>
      <c r="F183" s="21" t="s">
        <v>662</v>
      </c>
      <c r="G183" s="6" t="s">
        <v>135</v>
      </c>
      <c r="H183" s="9">
        <v>500</v>
      </c>
      <c r="I183" s="22">
        <v>8</v>
      </c>
      <c r="J183" s="13">
        <f t="shared" si="14"/>
        <v>159222</v>
      </c>
      <c r="K183" s="9"/>
      <c r="L183" s="14"/>
      <c r="M183" s="14"/>
      <c r="N183" s="14"/>
      <c r="O183" s="14">
        <v>0</v>
      </c>
      <c r="P183" s="14">
        <v>0</v>
      </c>
      <c r="Q183" s="21">
        <v>0</v>
      </c>
      <c r="R183" s="6"/>
      <c r="S183" s="6" t="s">
        <v>366</v>
      </c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</row>
    <row r="184" spans="1:252" s="52" customFormat="1" ht="20" customHeight="1">
      <c r="A184" s="43">
        <v>174</v>
      </c>
      <c r="B184" s="44">
        <v>0.5</v>
      </c>
      <c r="C184" s="45" t="s">
        <v>31</v>
      </c>
      <c r="D184" s="56" t="s">
        <v>27</v>
      </c>
      <c r="E184" s="47">
        <v>42166</v>
      </c>
      <c r="F184" s="48" t="s">
        <v>375</v>
      </c>
      <c r="G184" s="46" t="s">
        <v>142</v>
      </c>
      <c r="H184" s="43">
        <v>375</v>
      </c>
      <c r="I184" s="49" t="s">
        <v>376</v>
      </c>
      <c r="J184" s="50">
        <f t="shared" si="14"/>
        <v>159597</v>
      </c>
      <c r="K184" s="43"/>
      <c r="L184" s="51"/>
      <c r="M184" s="51"/>
      <c r="N184" s="51"/>
      <c r="O184" s="51">
        <v>0</v>
      </c>
      <c r="P184" s="51">
        <v>0</v>
      </c>
      <c r="Q184" s="48">
        <v>0</v>
      </c>
      <c r="R184" s="46" t="s">
        <v>377</v>
      </c>
      <c r="S184" s="46" t="s">
        <v>83</v>
      </c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8"/>
      <c r="II184" s="48"/>
      <c r="IJ184" s="48"/>
      <c r="IK184" s="48"/>
      <c r="IL184" s="48"/>
      <c r="IM184" s="48"/>
      <c r="IN184" s="48"/>
      <c r="IO184" s="48"/>
      <c r="IP184" s="48"/>
      <c r="IQ184" s="48"/>
      <c r="IR184" s="48"/>
    </row>
    <row r="185" spans="1:252" s="24" customFormat="1" ht="20" customHeight="1">
      <c r="A185" s="29">
        <v>175</v>
      </c>
      <c r="B185" s="1">
        <v>0.5</v>
      </c>
      <c r="C185" s="15" t="s">
        <v>31</v>
      </c>
      <c r="D185" s="53" t="s">
        <v>32</v>
      </c>
      <c r="E185" s="16">
        <v>42301</v>
      </c>
      <c r="F185" s="21" t="s">
        <v>378</v>
      </c>
      <c r="G185" s="6" t="s">
        <v>29</v>
      </c>
      <c r="H185" s="9">
        <v>650</v>
      </c>
      <c r="I185" s="22" t="s">
        <v>379</v>
      </c>
      <c r="J185" s="13">
        <f t="shared" si="14"/>
        <v>160247</v>
      </c>
      <c r="K185" s="9">
        <v>353</v>
      </c>
      <c r="L185" s="14">
        <v>6243.37</v>
      </c>
      <c r="M185" s="14">
        <f>L185+398.78</f>
        <v>6642.15</v>
      </c>
      <c r="N185" s="14">
        <v>8473.11</v>
      </c>
      <c r="O185" s="14">
        <f t="shared" ref="O185:O191" si="23">M185-N185</f>
        <v>-1830.9600000000009</v>
      </c>
      <c r="P185" s="14">
        <v>50</v>
      </c>
      <c r="Q185" s="21">
        <f>O185/2</f>
        <v>-915.48000000000047</v>
      </c>
      <c r="R185" s="6" t="s">
        <v>380</v>
      </c>
      <c r="S185" s="6" t="s">
        <v>366</v>
      </c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</row>
    <row r="186" spans="1:252" s="24" customFormat="1" ht="20" customHeight="1">
      <c r="A186" s="29">
        <v>176</v>
      </c>
      <c r="B186" s="1">
        <v>0.45</v>
      </c>
      <c r="C186" s="15" t="s">
        <v>31</v>
      </c>
      <c r="D186" s="53" t="s">
        <v>22</v>
      </c>
      <c r="E186" s="16">
        <v>42265</v>
      </c>
      <c r="F186" s="21" t="s">
        <v>577</v>
      </c>
      <c r="G186" s="6" t="s">
        <v>85</v>
      </c>
      <c r="H186" s="9">
        <v>300</v>
      </c>
      <c r="I186" s="22" t="s">
        <v>57</v>
      </c>
      <c r="J186" s="13">
        <f t="shared" si="14"/>
        <v>160547</v>
      </c>
      <c r="K186" s="9">
        <v>146</v>
      </c>
      <c r="L186" s="14">
        <v>2099.11</v>
      </c>
      <c r="M186" s="14">
        <v>2099.11</v>
      </c>
      <c r="N186" s="14">
        <v>2588.7600000000002</v>
      </c>
      <c r="O186" s="14">
        <f t="shared" si="23"/>
        <v>-489.65000000000009</v>
      </c>
      <c r="P186" s="14">
        <v>50</v>
      </c>
      <c r="Q186" s="21">
        <f>O186/2</f>
        <v>-244.82500000000005</v>
      </c>
      <c r="R186" s="6" t="s">
        <v>384</v>
      </c>
      <c r="S186" s="6" t="s">
        <v>366</v>
      </c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</row>
    <row r="187" spans="1:252" s="24" customFormat="1" ht="20" customHeight="1">
      <c r="A187" s="29">
        <v>177</v>
      </c>
      <c r="B187" s="1">
        <v>0.5</v>
      </c>
      <c r="C187" s="15" t="s">
        <v>20</v>
      </c>
      <c r="D187" s="53" t="s">
        <v>22</v>
      </c>
      <c r="E187" s="16">
        <v>42279</v>
      </c>
      <c r="F187" s="21" t="s">
        <v>640</v>
      </c>
      <c r="G187" s="6" t="s">
        <v>29</v>
      </c>
      <c r="H187" s="9">
        <v>925</v>
      </c>
      <c r="I187" s="22" t="s">
        <v>37</v>
      </c>
      <c r="J187" s="13">
        <f t="shared" si="14"/>
        <v>161472</v>
      </c>
      <c r="K187" s="9">
        <v>376</v>
      </c>
      <c r="L187" s="14">
        <v>9084.33</v>
      </c>
      <c r="M187" s="14">
        <f>L187+420.09</f>
        <v>9504.42</v>
      </c>
      <c r="N187" s="14">
        <v>12034.24</v>
      </c>
      <c r="O187" s="14">
        <f t="shared" si="23"/>
        <v>-2529.8199999999997</v>
      </c>
      <c r="P187" s="14">
        <v>50</v>
      </c>
      <c r="Q187" s="21">
        <f>O187/2</f>
        <v>-1264.9099999999999</v>
      </c>
      <c r="R187" s="6" t="s">
        <v>58</v>
      </c>
      <c r="S187" s="6" t="s">
        <v>26</v>
      </c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</row>
    <row r="188" spans="1:252" s="24" customFormat="1" ht="20" customHeight="1">
      <c r="A188" s="29">
        <v>178</v>
      </c>
      <c r="B188" s="1">
        <v>0.5</v>
      </c>
      <c r="C188" s="15" t="s">
        <v>20</v>
      </c>
      <c r="D188" s="53" t="s">
        <v>22</v>
      </c>
      <c r="E188" s="16">
        <v>42265</v>
      </c>
      <c r="F188" s="21" t="s">
        <v>489</v>
      </c>
      <c r="G188" s="6" t="s">
        <v>24</v>
      </c>
      <c r="H188" s="9">
        <v>2200</v>
      </c>
      <c r="I188" s="22" t="s">
        <v>37</v>
      </c>
      <c r="J188" s="13">
        <f t="shared" si="14"/>
        <v>163672</v>
      </c>
      <c r="K188" s="9">
        <v>2042</v>
      </c>
      <c r="L188" s="14">
        <v>49016.06</v>
      </c>
      <c r="M188" s="14">
        <f>L188+2521.61</f>
        <v>51537.67</v>
      </c>
      <c r="N188" s="14">
        <v>42434.879999999997</v>
      </c>
      <c r="O188" s="14">
        <f t="shared" si="23"/>
        <v>9102.7900000000009</v>
      </c>
      <c r="P188" s="14">
        <v>50</v>
      </c>
      <c r="Q188" s="21">
        <f>O188/2</f>
        <v>4551.3950000000004</v>
      </c>
      <c r="R188" s="6" t="s">
        <v>347</v>
      </c>
      <c r="S188" s="6" t="s">
        <v>26</v>
      </c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</row>
    <row r="189" spans="1:252" s="24" customFormat="1" ht="20" customHeight="1">
      <c r="A189" s="29">
        <v>179</v>
      </c>
      <c r="B189" s="1">
        <v>0.33</v>
      </c>
      <c r="C189" s="15" t="s">
        <v>199</v>
      </c>
      <c r="D189" s="53" t="s">
        <v>385</v>
      </c>
      <c r="E189" s="16" t="s">
        <v>386</v>
      </c>
      <c r="F189" s="21" t="s">
        <v>532</v>
      </c>
      <c r="G189" s="6" t="s">
        <v>315</v>
      </c>
      <c r="H189" s="9">
        <v>1550</v>
      </c>
      <c r="I189" s="22" t="s">
        <v>37</v>
      </c>
      <c r="J189" s="13">
        <f t="shared" si="14"/>
        <v>165222</v>
      </c>
      <c r="K189" s="9">
        <v>1371</v>
      </c>
      <c r="L189" s="14">
        <v>32993.040000000001</v>
      </c>
      <c r="M189" s="14">
        <v>32993.040000000001</v>
      </c>
      <c r="N189" s="14">
        <v>31274.5</v>
      </c>
      <c r="O189" s="14">
        <f t="shared" si="23"/>
        <v>1718.5400000000009</v>
      </c>
      <c r="P189" s="14">
        <v>33</v>
      </c>
      <c r="Q189" s="21">
        <f>O189/3</f>
        <v>572.84666666666692</v>
      </c>
      <c r="R189" s="6" t="s">
        <v>101</v>
      </c>
      <c r="S189" s="6" t="s">
        <v>26</v>
      </c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</row>
    <row r="190" spans="1:252" s="24" customFormat="1" ht="20" customHeight="1">
      <c r="A190" s="29">
        <v>180</v>
      </c>
      <c r="B190" s="1">
        <v>0.5</v>
      </c>
      <c r="C190" s="15" t="s">
        <v>20</v>
      </c>
      <c r="D190" s="53" t="s">
        <v>75</v>
      </c>
      <c r="E190" s="16">
        <v>42263</v>
      </c>
      <c r="F190" s="21" t="s">
        <v>493</v>
      </c>
      <c r="G190" s="6" t="s">
        <v>29</v>
      </c>
      <c r="H190" s="9">
        <v>925</v>
      </c>
      <c r="I190" s="22" t="s">
        <v>264</v>
      </c>
      <c r="J190" s="13">
        <f t="shared" si="14"/>
        <v>166147</v>
      </c>
      <c r="K190" s="9">
        <v>473</v>
      </c>
      <c r="L190" s="14">
        <v>8449.93</v>
      </c>
      <c r="M190" s="14">
        <f>L190+590.56</f>
        <v>9040.49</v>
      </c>
      <c r="N190" s="14">
        <v>10840.91</v>
      </c>
      <c r="O190" s="14">
        <f t="shared" si="23"/>
        <v>-1800.42</v>
      </c>
      <c r="P190" s="14">
        <v>45</v>
      </c>
      <c r="Q190" s="21">
        <v>-756.66</v>
      </c>
      <c r="R190" s="6" t="s">
        <v>387</v>
      </c>
      <c r="S190" s="6" t="s">
        <v>366</v>
      </c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</row>
    <row r="191" spans="1:252" s="24" customFormat="1" ht="20" customHeight="1">
      <c r="A191" s="29">
        <v>181</v>
      </c>
      <c r="B191" s="1">
        <v>0.5</v>
      </c>
      <c r="C191" s="15" t="s">
        <v>20</v>
      </c>
      <c r="D191" s="53" t="s">
        <v>23</v>
      </c>
      <c r="E191" s="16">
        <v>42268</v>
      </c>
      <c r="F191" s="21" t="s">
        <v>575</v>
      </c>
      <c r="G191" s="6" t="s">
        <v>29</v>
      </c>
      <c r="H191" s="9">
        <v>650</v>
      </c>
      <c r="I191" s="22" t="s">
        <v>102</v>
      </c>
      <c r="J191" s="13">
        <f t="shared" si="14"/>
        <v>166797</v>
      </c>
      <c r="K191" s="9">
        <v>274</v>
      </c>
      <c r="L191" s="14">
        <v>4825.76</v>
      </c>
      <c r="M191" s="14">
        <f>L191+377.47</f>
        <v>5203.2300000000005</v>
      </c>
      <c r="N191" s="14">
        <v>8408.2999999999993</v>
      </c>
      <c r="O191" s="14">
        <f t="shared" si="23"/>
        <v>-3205.0699999999988</v>
      </c>
      <c r="P191" s="14">
        <v>50</v>
      </c>
      <c r="Q191" s="21">
        <f>O191/2</f>
        <v>-1602.5349999999994</v>
      </c>
      <c r="R191" s="6" t="s">
        <v>87</v>
      </c>
      <c r="S191" s="6" t="s">
        <v>83</v>
      </c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</row>
    <row r="192" spans="1:252" s="52" customFormat="1" ht="20" customHeight="1">
      <c r="A192" s="43">
        <v>182</v>
      </c>
      <c r="B192" s="44">
        <v>0.5</v>
      </c>
      <c r="C192" s="45" t="s">
        <v>20</v>
      </c>
      <c r="D192" s="56" t="s">
        <v>27</v>
      </c>
      <c r="E192" s="47">
        <v>42208</v>
      </c>
      <c r="F192" s="48" t="s">
        <v>388</v>
      </c>
      <c r="G192" s="46" t="s">
        <v>108</v>
      </c>
      <c r="H192" s="43">
        <v>250</v>
      </c>
      <c r="I192" s="49" t="s">
        <v>200</v>
      </c>
      <c r="J192" s="50">
        <f t="shared" si="14"/>
        <v>167047</v>
      </c>
      <c r="K192" s="43"/>
      <c r="L192" s="51"/>
      <c r="M192" s="51"/>
      <c r="N192" s="51"/>
      <c r="O192" s="51">
        <v>-278.5</v>
      </c>
      <c r="P192" s="51">
        <v>0.5</v>
      </c>
      <c r="Q192" s="48">
        <f>P192*O192</f>
        <v>-139.25</v>
      </c>
      <c r="R192" s="46" t="s">
        <v>130</v>
      </c>
      <c r="S192" s="46" t="s">
        <v>83</v>
      </c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  <c r="GS192" s="48"/>
      <c r="GT192" s="48"/>
      <c r="GU192" s="48"/>
      <c r="GV192" s="48"/>
      <c r="GW192" s="48"/>
      <c r="GX192" s="48"/>
      <c r="GY192" s="48"/>
      <c r="GZ192" s="48"/>
      <c r="HA192" s="48"/>
      <c r="HB192" s="48"/>
      <c r="HC192" s="48"/>
      <c r="HD192" s="48"/>
      <c r="HE192" s="48"/>
      <c r="HF192" s="48"/>
      <c r="HG192" s="48"/>
      <c r="HH192" s="48"/>
      <c r="HI192" s="48"/>
      <c r="HJ192" s="48"/>
      <c r="HK192" s="48"/>
      <c r="HL192" s="48"/>
      <c r="HM192" s="48"/>
      <c r="HN192" s="48"/>
      <c r="HO192" s="48"/>
      <c r="HP192" s="48"/>
      <c r="HQ192" s="48"/>
      <c r="HR192" s="48"/>
      <c r="HS192" s="48"/>
      <c r="HT192" s="48"/>
      <c r="HU192" s="48"/>
      <c r="HV192" s="48"/>
      <c r="HW192" s="48"/>
      <c r="HX192" s="48"/>
      <c r="HY192" s="48"/>
      <c r="HZ192" s="48"/>
      <c r="IA192" s="48"/>
      <c r="IB192" s="48"/>
      <c r="IC192" s="48"/>
      <c r="ID192" s="48"/>
      <c r="IE192" s="48"/>
      <c r="IF192" s="48"/>
      <c r="IG192" s="48"/>
      <c r="IH192" s="48"/>
      <c r="II192" s="48"/>
      <c r="IJ192" s="48"/>
      <c r="IK192" s="48"/>
      <c r="IL192" s="48"/>
      <c r="IM192" s="48"/>
      <c r="IN192" s="48"/>
      <c r="IO192" s="48"/>
      <c r="IP192" s="48"/>
      <c r="IQ192" s="48"/>
      <c r="IR192" s="48"/>
    </row>
    <row r="193" spans="1:252" s="24" customFormat="1" ht="20" customHeight="1">
      <c r="A193" s="29">
        <v>183</v>
      </c>
      <c r="B193" s="1">
        <v>0.5</v>
      </c>
      <c r="C193" s="15" t="s">
        <v>31</v>
      </c>
      <c r="D193" s="53" t="s">
        <v>32</v>
      </c>
      <c r="E193" s="16">
        <v>42294</v>
      </c>
      <c r="F193" s="21" t="s">
        <v>389</v>
      </c>
      <c r="G193" s="6" t="s">
        <v>24</v>
      </c>
      <c r="H193" s="9">
        <v>2200</v>
      </c>
      <c r="I193" s="22" t="s">
        <v>614</v>
      </c>
      <c r="J193" s="13">
        <f t="shared" si="14"/>
        <v>169247</v>
      </c>
      <c r="K193" s="9">
        <v>2200</v>
      </c>
      <c r="L193" s="14">
        <v>41189.03</v>
      </c>
      <c r="M193" s="14">
        <v>41189.03</v>
      </c>
      <c r="N193" s="14">
        <v>36819.4</v>
      </c>
      <c r="O193" s="14">
        <v>2972.8</v>
      </c>
      <c r="P193" s="14">
        <v>50</v>
      </c>
      <c r="Q193" s="21">
        <f>O193/2</f>
        <v>1486.4</v>
      </c>
      <c r="R193" s="6" t="s">
        <v>134</v>
      </c>
      <c r="S193" s="6" t="s">
        <v>390</v>
      </c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</row>
    <row r="194" spans="1:252" s="24" customFormat="1" ht="20" customHeight="1">
      <c r="A194" s="29">
        <v>184</v>
      </c>
      <c r="B194" s="1">
        <v>0.5</v>
      </c>
      <c r="C194" s="15" t="s">
        <v>31</v>
      </c>
      <c r="D194" s="53" t="s">
        <v>21</v>
      </c>
      <c r="E194" s="16">
        <v>42248</v>
      </c>
      <c r="F194" s="21" t="s">
        <v>558</v>
      </c>
      <c r="G194" s="6" t="s">
        <v>24</v>
      </c>
      <c r="H194" s="9">
        <v>2200</v>
      </c>
      <c r="I194" s="22" t="s">
        <v>95</v>
      </c>
      <c r="J194" s="13">
        <f t="shared" si="14"/>
        <v>171447</v>
      </c>
      <c r="K194" s="9">
        <v>2293</v>
      </c>
      <c r="L194" s="14">
        <v>60055.5</v>
      </c>
      <c r="M194" s="14">
        <v>60055.5</v>
      </c>
      <c r="N194" s="14">
        <v>53735.67</v>
      </c>
      <c r="O194" s="14">
        <f>M194-N194</f>
        <v>6319.8300000000017</v>
      </c>
      <c r="P194" s="14">
        <v>50</v>
      </c>
      <c r="Q194" s="21">
        <f>O194/2</f>
        <v>3159.9150000000009</v>
      </c>
      <c r="R194" s="6" t="s">
        <v>282</v>
      </c>
      <c r="S194" s="6" t="s">
        <v>80</v>
      </c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</row>
    <row r="195" spans="1:252" s="24" customFormat="1" ht="20" customHeight="1">
      <c r="A195" s="29">
        <v>185</v>
      </c>
      <c r="B195" s="1">
        <v>0.5</v>
      </c>
      <c r="C195" s="15" t="s">
        <v>20</v>
      </c>
      <c r="D195" s="53" t="s">
        <v>75</v>
      </c>
      <c r="E195" s="16">
        <v>42277</v>
      </c>
      <c r="F195" s="21" t="s">
        <v>407</v>
      </c>
      <c r="G195" s="6" t="s">
        <v>24</v>
      </c>
      <c r="H195" s="9">
        <v>2200</v>
      </c>
      <c r="I195" s="22" t="s">
        <v>133</v>
      </c>
      <c r="J195" s="13">
        <f t="shared" si="14"/>
        <v>173647</v>
      </c>
      <c r="K195" s="9">
        <v>1505</v>
      </c>
      <c r="L195" s="14">
        <v>39831.68</v>
      </c>
      <c r="M195" s="14">
        <f>L195+1689.98</f>
        <v>41521.660000000003</v>
      </c>
      <c r="N195" s="14">
        <v>34170.26</v>
      </c>
      <c r="O195" s="14">
        <f>M195-N195</f>
        <v>7351.4000000000015</v>
      </c>
      <c r="P195" s="14">
        <v>50</v>
      </c>
      <c r="Q195" s="21">
        <f>O195/2</f>
        <v>3675.7000000000007</v>
      </c>
      <c r="R195" s="6" t="s">
        <v>391</v>
      </c>
      <c r="S195" s="6" t="s">
        <v>366</v>
      </c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</row>
    <row r="196" spans="1:252" s="24" customFormat="1" ht="20" customHeight="1">
      <c r="A196" s="29">
        <v>186</v>
      </c>
      <c r="B196" s="1">
        <v>0.33</v>
      </c>
      <c r="C196" s="15" t="s">
        <v>91</v>
      </c>
      <c r="D196" s="53" t="s">
        <v>75</v>
      </c>
      <c r="E196" s="16">
        <v>42221</v>
      </c>
      <c r="F196" s="21" t="s">
        <v>392</v>
      </c>
      <c r="G196" s="6" t="s">
        <v>24</v>
      </c>
      <c r="H196" s="9">
        <v>900</v>
      </c>
      <c r="I196" s="22" t="s">
        <v>393</v>
      </c>
      <c r="J196" s="13">
        <f t="shared" si="14"/>
        <v>174547</v>
      </c>
      <c r="K196" s="9">
        <v>821</v>
      </c>
      <c r="L196" s="14">
        <v>23537.34</v>
      </c>
      <c r="M196" s="14">
        <v>23537.34</v>
      </c>
      <c r="N196" s="14">
        <v>22332.99</v>
      </c>
      <c r="O196" s="14">
        <f>M196-N196</f>
        <v>1204.3499999999985</v>
      </c>
      <c r="P196" s="14">
        <v>33</v>
      </c>
      <c r="Q196" s="21">
        <f>O196/3.33</f>
        <v>361.66666666666623</v>
      </c>
      <c r="R196" s="6" t="s">
        <v>360</v>
      </c>
      <c r="S196" s="6" t="s">
        <v>366</v>
      </c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</row>
    <row r="197" spans="1:252" s="24" customFormat="1" ht="20" customHeight="1">
      <c r="A197" s="29">
        <v>187</v>
      </c>
      <c r="B197" s="1">
        <v>0.5</v>
      </c>
      <c r="C197" s="15" t="s">
        <v>20</v>
      </c>
      <c r="D197" s="53" t="s">
        <v>23</v>
      </c>
      <c r="E197" s="16">
        <v>42219</v>
      </c>
      <c r="F197" s="21" t="s">
        <v>502</v>
      </c>
      <c r="G197" s="6" t="s">
        <v>135</v>
      </c>
      <c r="H197" s="9">
        <v>550</v>
      </c>
      <c r="I197" s="22" t="s">
        <v>128</v>
      </c>
      <c r="J197" s="13">
        <f t="shared" si="14"/>
        <v>175097</v>
      </c>
      <c r="K197" s="9">
        <v>270</v>
      </c>
      <c r="L197" s="14">
        <v>3905.34</v>
      </c>
      <c r="M197" s="14">
        <v>3905.34</v>
      </c>
      <c r="N197" s="14">
        <v>6161.86</v>
      </c>
      <c r="O197" s="14">
        <f>M197-N197</f>
        <v>-2256.5199999999995</v>
      </c>
      <c r="P197" s="14">
        <v>50</v>
      </c>
      <c r="Q197" s="21">
        <f>O197/2</f>
        <v>-1128.2599999999998</v>
      </c>
      <c r="R197" s="6" t="s">
        <v>394</v>
      </c>
      <c r="S197" s="6" t="s">
        <v>366</v>
      </c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</row>
    <row r="198" spans="1:252" s="24" customFormat="1" ht="20" customHeight="1">
      <c r="A198" s="29">
        <v>188</v>
      </c>
      <c r="B198" s="1">
        <v>0</v>
      </c>
      <c r="C198" s="15" t="s">
        <v>395</v>
      </c>
      <c r="D198" s="53" t="s">
        <v>27</v>
      </c>
      <c r="E198" s="16">
        <v>42222</v>
      </c>
      <c r="F198" s="21" t="s">
        <v>654</v>
      </c>
      <c r="G198" s="6" t="s">
        <v>156</v>
      </c>
      <c r="H198" s="9">
        <v>200</v>
      </c>
      <c r="I198" s="22">
        <v>10</v>
      </c>
      <c r="J198" s="13">
        <f t="shared" si="14"/>
        <v>175297</v>
      </c>
      <c r="K198" s="9"/>
      <c r="L198" s="14"/>
      <c r="M198" s="14"/>
      <c r="N198" s="14"/>
      <c r="O198" s="14">
        <v>0</v>
      </c>
      <c r="P198" s="14">
        <v>0</v>
      </c>
      <c r="Q198" s="21">
        <v>0</v>
      </c>
      <c r="R198" s="6" t="s">
        <v>134</v>
      </c>
      <c r="S198" s="6" t="s">
        <v>366</v>
      </c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</row>
    <row r="199" spans="1:252" s="24" customFormat="1" ht="20" customHeight="1">
      <c r="A199" s="29">
        <v>189</v>
      </c>
      <c r="B199" s="1">
        <v>0.5</v>
      </c>
      <c r="C199" s="15" t="s">
        <v>31</v>
      </c>
      <c r="D199" s="53" t="s">
        <v>21</v>
      </c>
      <c r="E199" s="16">
        <v>42276</v>
      </c>
      <c r="F199" s="21" t="s">
        <v>596</v>
      </c>
      <c r="G199" s="6" t="s">
        <v>56</v>
      </c>
      <c r="H199" s="9">
        <v>300</v>
      </c>
      <c r="I199" s="22">
        <v>15</v>
      </c>
      <c r="J199" s="13">
        <f t="shared" si="14"/>
        <v>175597</v>
      </c>
      <c r="K199" s="9">
        <v>181</v>
      </c>
      <c r="L199" s="14">
        <v>2362.0500000000002</v>
      </c>
      <c r="M199" s="14">
        <v>2362.0500000000002</v>
      </c>
      <c r="N199" s="14">
        <v>2808.65</v>
      </c>
      <c r="O199" s="14">
        <f>M199-N199</f>
        <v>-446.59999999999991</v>
      </c>
      <c r="P199" s="14">
        <v>50</v>
      </c>
      <c r="Q199" s="21">
        <f>O199/2</f>
        <v>-223.29999999999995</v>
      </c>
      <c r="R199" s="6" t="s">
        <v>70</v>
      </c>
      <c r="S199" s="6" t="s">
        <v>26</v>
      </c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</row>
    <row r="200" spans="1:252" s="24" customFormat="1" ht="20" customHeight="1">
      <c r="A200" s="29">
        <v>190</v>
      </c>
      <c r="B200" s="1">
        <v>0.5</v>
      </c>
      <c r="C200" s="15" t="s">
        <v>20</v>
      </c>
      <c r="D200" s="53" t="s">
        <v>27</v>
      </c>
      <c r="E200" s="16">
        <v>42285</v>
      </c>
      <c r="F200" s="21" t="s">
        <v>398</v>
      </c>
      <c r="G200" s="6" t="s">
        <v>24</v>
      </c>
      <c r="H200" s="9">
        <v>2200</v>
      </c>
      <c r="I200" s="22" t="s">
        <v>399</v>
      </c>
      <c r="J200" s="13">
        <f t="shared" si="14"/>
        <v>177797</v>
      </c>
      <c r="K200" s="9">
        <v>1942</v>
      </c>
      <c r="L200" s="14">
        <v>56709.48</v>
      </c>
      <c r="M200" s="14">
        <f>L200+2537.53</f>
        <v>59247.01</v>
      </c>
      <c r="N200" s="14">
        <v>53183</v>
      </c>
      <c r="O200" s="14">
        <f>M200-N200</f>
        <v>6064.010000000002</v>
      </c>
      <c r="P200" s="14">
        <v>50</v>
      </c>
      <c r="Q200" s="21">
        <f>O200/2</f>
        <v>3032.005000000001</v>
      </c>
      <c r="R200" s="6" t="s">
        <v>70</v>
      </c>
      <c r="S200" s="6" t="s">
        <v>26</v>
      </c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</row>
    <row r="201" spans="1:252" s="24" customFormat="1" ht="20" customHeight="1">
      <c r="A201" s="29">
        <v>191</v>
      </c>
      <c r="B201" s="1">
        <v>0.5</v>
      </c>
      <c r="C201" s="15" t="s">
        <v>20</v>
      </c>
      <c r="D201" s="53" t="s">
        <v>32</v>
      </c>
      <c r="E201" s="16">
        <v>42315</v>
      </c>
      <c r="F201" s="21" t="s">
        <v>401</v>
      </c>
      <c r="G201" s="6" t="s">
        <v>29</v>
      </c>
      <c r="H201" s="9">
        <v>589</v>
      </c>
      <c r="I201" s="22" t="s">
        <v>215</v>
      </c>
      <c r="J201" s="13">
        <f t="shared" si="14"/>
        <v>178386</v>
      </c>
      <c r="K201" s="9">
        <v>375</v>
      </c>
      <c r="L201" s="14">
        <v>14877.6</v>
      </c>
      <c r="M201" s="14">
        <f>L201+525.11</f>
        <v>15402.710000000001</v>
      </c>
      <c r="N201" s="14">
        <v>16037.54</v>
      </c>
      <c r="O201" s="14">
        <f>M201-N201</f>
        <v>-634.82999999999993</v>
      </c>
      <c r="P201" s="14">
        <v>50</v>
      </c>
      <c r="Q201" s="21">
        <f>O201/2</f>
        <v>-317.41499999999996</v>
      </c>
      <c r="R201" s="6" t="s">
        <v>87</v>
      </c>
      <c r="S201" s="6" t="s">
        <v>26</v>
      </c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</row>
    <row r="202" spans="1:252" s="52" customFormat="1" ht="20" customHeight="1">
      <c r="A202" s="43">
        <v>192</v>
      </c>
      <c r="B202" s="44">
        <v>0.25</v>
      </c>
      <c r="C202" s="45" t="s">
        <v>404</v>
      </c>
      <c r="D202" s="56" t="s">
        <v>22</v>
      </c>
      <c r="E202" s="47">
        <v>42300</v>
      </c>
      <c r="F202" s="48" t="s">
        <v>402</v>
      </c>
      <c r="G202" s="46" t="s">
        <v>252</v>
      </c>
      <c r="H202" s="43">
        <v>540</v>
      </c>
      <c r="I202" s="49" t="s">
        <v>403</v>
      </c>
      <c r="J202" s="50">
        <f t="shared" si="14"/>
        <v>178926</v>
      </c>
      <c r="K202" s="43">
        <v>0</v>
      </c>
      <c r="L202" s="51">
        <v>0</v>
      </c>
      <c r="M202" s="51">
        <v>0</v>
      </c>
      <c r="N202" s="51">
        <v>1320</v>
      </c>
      <c r="O202" s="51">
        <v>-1320</v>
      </c>
      <c r="P202" s="51">
        <v>25</v>
      </c>
      <c r="Q202" s="48">
        <f>O202/4</f>
        <v>-330</v>
      </c>
      <c r="R202" s="46" t="s">
        <v>127</v>
      </c>
      <c r="S202" s="46" t="s">
        <v>83</v>
      </c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8"/>
      <c r="FI202" s="48"/>
      <c r="FJ202" s="48"/>
      <c r="FK202" s="48"/>
      <c r="FL202" s="48"/>
      <c r="FM202" s="48"/>
      <c r="FN202" s="48"/>
      <c r="FO202" s="48"/>
      <c r="FP202" s="48"/>
      <c r="FQ202" s="48"/>
      <c r="FR202" s="48"/>
      <c r="FS202" s="48"/>
      <c r="FT202" s="48"/>
      <c r="FU202" s="48"/>
      <c r="FV202" s="48"/>
      <c r="FW202" s="48"/>
      <c r="FX202" s="48"/>
      <c r="FY202" s="48"/>
      <c r="FZ202" s="48"/>
      <c r="GA202" s="48"/>
      <c r="GB202" s="48"/>
      <c r="GC202" s="48"/>
      <c r="GD202" s="48"/>
      <c r="GE202" s="48"/>
      <c r="GF202" s="48"/>
      <c r="GG202" s="48"/>
      <c r="GH202" s="48"/>
      <c r="GI202" s="48"/>
      <c r="GJ202" s="48"/>
      <c r="GK202" s="48"/>
      <c r="GL202" s="48"/>
      <c r="GM202" s="48"/>
      <c r="GN202" s="48"/>
      <c r="GO202" s="48"/>
      <c r="GP202" s="48"/>
      <c r="GQ202" s="48"/>
      <c r="GR202" s="48"/>
      <c r="GS202" s="48"/>
      <c r="GT202" s="48"/>
      <c r="GU202" s="48"/>
      <c r="GV202" s="48"/>
      <c r="GW202" s="48"/>
      <c r="GX202" s="48"/>
      <c r="GY202" s="48"/>
      <c r="GZ202" s="48"/>
      <c r="HA202" s="48"/>
      <c r="HB202" s="48"/>
      <c r="HC202" s="48"/>
      <c r="HD202" s="48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48"/>
      <c r="HZ202" s="48"/>
      <c r="IA202" s="48"/>
      <c r="IB202" s="48"/>
      <c r="IC202" s="48"/>
      <c r="ID202" s="48"/>
      <c r="IE202" s="48"/>
      <c r="IF202" s="48"/>
      <c r="IG202" s="48"/>
      <c r="IH202" s="48"/>
      <c r="II202" s="48"/>
      <c r="IJ202" s="48"/>
      <c r="IK202" s="48"/>
      <c r="IL202" s="48"/>
      <c r="IM202" s="48"/>
      <c r="IN202" s="48"/>
      <c r="IO202" s="48"/>
      <c r="IP202" s="48"/>
      <c r="IQ202" s="48"/>
      <c r="IR202" s="48"/>
    </row>
    <row r="203" spans="1:252" s="24" customFormat="1" ht="20" customHeight="1">
      <c r="A203" s="29">
        <v>193</v>
      </c>
      <c r="B203" s="1">
        <v>0.5</v>
      </c>
      <c r="C203" s="15" t="s">
        <v>31</v>
      </c>
      <c r="D203" s="53" t="s">
        <v>32</v>
      </c>
      <c r="E203" s="16">
        <v>42196</v>
      </c>
      <c r="F203" s="21" t="s">
        <v>469</v>
      </c>
      <c r="G203" s="6" t="s">
        <v>33</v>
      </c>
      <c r="H203" s="9">
        <v>150</v>
      </c>
      <c r="I203" s="22">
        <v>10</v>
      </c>
      <c r="J203" s="13">
        <f t="shared" si="14"/>
        <v>179076</v>
      </c>
      <c r="K203" s="9">
        <v>60</v>
      </c>
      <c r="L203" s="14">
        <v>522</v>
      </c>
      <c r="M203" s="14">
        <v>522</v>
      </c>
      <c r="N203" s="14">
        <v>466.05</v>
      </c>
      <c r="O203" s="14">
        <v>5.6</v>
      </c>
      <c r="P203" s="14">
        <v>50</v>
      </c>
      <c r="Q203" s="21">
        <f>O203/2</f>
        <v>2.8</v>
      </c>
      <c r="R203" s="6" t="s">
        <v>87</v>
      </c>
      <c r="S203" s="6" t="s">
        <v>80</v>
      </c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</row>
    <row r="204" spans="1:252" s="24" customFormat="1" ht="20" customHeight="1">
      <c r="A204" s="29">
        <v>194</v>
      </c>
      <c r="B204" s="1">
        <v>0.5</v>
      </c>
      <c r="C204" s="15" t="s">
        <v>31</v>
      </c>
      <c r="D204" s="6" t="s">
        <v>23</v>
      </c>
      <c r="E204" s="16">
        <v>42310</v>
      </c>
      <c r="F204" s="21" t="s">
        <v>622</v>
      </c>
      <c r="G204" s="6" t="s">
        <v>33</v>
      </c>
      <c r="H204" s="9">
        <v>150</v>
      </c>
      <c r="I204" s="22">
        <v>12</v>
      </c>
      <c r="J204" s="13">
        <f t="shared" si="14"/>
        <v>179226</v>
      </c>
      <c r="K204" s="9">
        <v>48</v>
      </c>
      <c r="L204" s="14">
        <v>501.12</v>
      </c>
      <c r="M204" s="14">
        <v>501.12</v>
      </c>
      <c r="N204" s="14">
        <v>1240.44</v>
      </c>
      <c r="O204" s="14">
        <f>M204-N204</f>
        <v>-739.32</v>
      </c>
      <c r="P204" s="14">
        <v>50</v>
      </c>
      <c r="Q204" s="21">
        <f>O204/2</f>
        <v>-369.66</v>
      </c>
      <c r="R204" s="6" t="s">
        <v>346</v>
      </c>
      <c r="S204" s="6" t="s">
        <v>366</v>
      </c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</row>
    <row r="205" spans="1:252" s="24" customFormat="1" ht="20" customHeight="1">
      <c r="A205" s="29">
        <v>195</v>
      </c>
      <c r="B205" s="1">
        <v>0.5</v>
      </c>
      <c r="C205" s="15" t="s">
        <v>328</v>
      </c>
      <c r="D205" s="53" t="s">
        <v>32</v>
      </c>
      <c r="E205" s="16">
        <v>42266</v>
      </c>
      <c r="F205" s="21" t="s">
        <v>526</v>
      </c>
      <c r="G205" s="6" t="s">
        <v>142</v>
      </c>
      <c r="H205" s="9">
        <v>400</v>
      </c>
      <c r="I205" s="22" t="s">
        <v>200</v>
      </c>
      <c r="J205" s="13">
        <f t="shared" ref="J205:J228" si="24">J204+H205</f>
        <v>179626</v>
      </c>
      <c r="K205" s="9">
        <v>440</v>
      </c>
      <c r="L205" s="14">
        <v>5882.94</v>
      </c>
      <c r="M205" s="14">
        <v>5882.94</v>
      </c>
      <c r="N205" s="14">
        <v>4242.0200000000004</v>
      </c>
      <c r="O205" s="14">
        <v>787</v>
      </c>
      <c r="P205" s="14">
        <v>50</v>
      </c>
      <c r="Q205" s="21">
        <f>O205/2</f>
        <v>393.5</v>
      </c>
      <c r="R205" s="6" t="s">
        <v>70</v>
      </c>
      <c r="S205" s="6" t="s">
        <v>366</v>
      </c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</row>
    <row r="206" spans="1:252" s="24" customFormat="1" ht="20" customHeight="1">
      <c r="A206" s="29">
        <v>196</v>
      </c>
      <c r="B206" s="1">
        <v>0.5</v>
      </c>
      <c r="C206" s="15" t="s">
        <v>20</v>
      </c>
      <c r="D206" s="53" t="s">
        <v>27</v>
      </c>
      <c r="E206" s="16">
        <v>42222</v>
      </c>
      <c r="F206" s="21" t="s">
        <v>653</v>
      </c>
      <c r="G206" s="6" t="s">
        <v>186</v>
      </c>
      <c r="H206" s="9">
        <v>550</v>
      </c>
      <c r="I206" s="22" t="s">
        <v>102</v>
      </c>
      <c r="J206" s="13">
        <f t="shared" si="24"/>
        <v>180176</v>
      </c>
      <c r="K206" s="9"/>
      <c r="L206" s="14"/>
      <c r="M206" s="14"/>
      <c r="N206" s="14"/>
      <c r="O206" s="14">
        <v>0</v>
      </c>
      <c r="P206" s="14">
        <v>0</v>
      </c>
      <c r="Q206" s="21">
        <f>O206/2</f>
        <v>0</v>
      </c>
      <c r="R206" s="6" t="s">
        <v>130</v>
      </c>
      <c r="S206" s="6" t="s">
        <v>83</v>
      </c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</row>
    <row r="207" spans="1:252" s="24" customFormat="1" ht="20" customHeight="1">
      <c r="A207" s="29">
        <v>197</v>
      </c>
      <c r="B207" s="1">
        <v>0.5</v>
      </c>
      <c r="C207" s="15" t="s">
        <v>20</v>
      </c>
      <c r="D207" s="53" t="s">
        <v>27</v>
      </c>
      <c r="E207" s="16">
        <v>42299</v>
      </c>
      <c r="F207" s="21" t="s">
        <v>406</v>
      </c>
      <c r="G207" s="6" t="s">
        <v>29</v>
      </c>
      <c r="H207" s="9">
        <v>925</v>
      </c>
      <c r="I207" s="22" t="s">
        <v>40</v>
      </c>
      <c r="J207" s="13">
        <f t="shared" si="24"/>
        <v>181101</v>
      </c>
      <c r="K207" s="9">
        <v>931</v>
      </c>
      <c r="L207" s="14">
        <v>20286.919999999998</v>
      </c>
      <c r="M207" s="14">
        <f>L207+1190.26</f>
        <v>21477.179999999997</v>
      </c>
      <c r="N207" s="14">
        <v>17632.400000000001</v>
      </c>
      <c r="O207" s="14">
        <f t="shared" ref="O207:O212" si="25">M207-N207</f>
        <v>3844.7799999999952</v>
      </c>
      <c r="P207" s="14">
        <v>50</v>
      </c>
      <c r="Q207" s="21">
        <f>O207/2</f>
        <v>1922.3899999999976</v>
      </c>
      <c r="R207" s="6" t="s">
        <v>170</v>
      </c>
      <c r="S207" s="6" t="s">
        <v>26</v>
      </c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</row>
    <row r="208" spans="1:252" s="24" customFormat="1" ht="20" customHeight="1">
      <c r="A208" s="29">
        <v>198</v>
      </c>
      <c r="B208" s="1">
        <v>0.5</v>
      </c>
      <c r="C208" s="15" t="s">
        <v>20</v>
      </c>
      <c r="D208" s="53" t="s">
        <v>21</v>
      </c>
      <c r="E208" s="16">
        <v>42325</v>
      </c>
      <c r="F208" s="21" t="s">
        <v>590</v>
      </c>
      <c r="G208" s="6" t="s">
        <v>29</v>
      </c>
      <c r="H208" s="9">
        <v>925</v>
      </c>
      <c r="I208" s="22" t="s">
        <v>133</v>
      </c>
      <c r="J208" s="13">
        <f t="shared" si="24"/>
        <v>182026</v>
      </c>
      <c r="K208" s="9">
        <v>332</v>
      </c>
      <c r="L208" s="14">
        <v>8708.6</v>
      </c>
      <c r="M208" s="14">
        <f>L208+426.18</f>
        <v>9134.7800000000007</v>
      </c>
      <c r="N208" s="14">
        <v>17028.86</v>
      </c>
      <c r="O208" s="14">
        <f t="shared" si="25"/>
        <v>-7894.08</v>
      </c>
      <c r="P208" s="14">
        <v>50</v>
      </c>
      <c r="Q208" s="21">
        <f>O208/2</f>
        <v>-3947.04</v>
      </c>
      <c r="R208" s="6" t="s">
        <v>70</v>
      </c>
      <c r="S208" s="6" t="s">
        <v>26</v>
      </c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</row>
    <row r="209" spans="1:252" s="24" customFormat="1" ht="20" customHeight="1">
      <c r="A209" s="29">
        <v>199</v>
      </c>
      <c r="B209" s="1">
        <v>0.5</v>
      </c>
      <c r="C209" s="15" t="s">
        <v>31</v>
      </c>
      <c r="D209" s="53" t="s">
        <v>22</v>
      </c>
      <c r="E209" s="16">
        <v>42321</v>
      </c>
      <c r="F209" s="21" t="s">
        <v>539</v>
      </c>
      <c r="G209" s="6" t="s">
        <v>85</v>
      </c>
      <c r="H209" s="9">
        <v>300</v>
      </c>
      <c r="I209" s="22">
        <v>20</v>
      </c>
      <c r="J209" s="13">
        <f t="shared" si="24"/>
        <v>182326</v>
      </c>
      <c r="K209" s="9">
        <v>245</v>
      </c>
      <c r="L209" s="14">
        <v>4260.55</v>
      </c>
      <c r="M209" s="14">
        <v>4260.55</v>
      </c>
      <c r="N209" s="14">
        <v>4127.6400000000003</v>
      </c>
      <c r="O209" s="14">
        <f t="shared" si="25"/>
        <v>132.90999999999985</v>
      </c>
      <c r="P209" s="14">
        <v>50</v>
      </c>
      <c r="Q209" s="21">
        <f>O209/2</f>
        <v>66.454999999999927</v>
      </c>
      <c r="R209" s="6" t="s">
        <v>122</v>
      </c>
      <c r="S209" s="6" t="s">
        <v>80</v>
      </c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</row>
    <row r="210" spans="1:252" s="24" customFormat="1" ht="20" customHeight="1">
      <c r="A210" s="29">
        <v>200</v>
      </c>
      <c r="B210" s="1">
        <v>0.5</v>
      </c>
      <c r="C210" s="15" t="s">
        <v>31</v>
      </c>
      <c r="D210" s="53" t="s">
        <v>23</v>
      </c>
      <c r="E210" s="16">
        <v>42289</v>
      </c>
      <c r="F210" s="21" t="s">
        <v>600</v>
      </c>
      <c r="G210" s="6" t="s">
        <v>56</v>
      </c>
      <c r="H210" s="9">
        <v>300</v>
      </c>
      <c r="I210" s="22" t="s">
        <v>320</v>
      </c>
      <c r="J210" s="13">
        <f t="shared" si="24"/>
        <v>182626</v>
      </c>
      <c r="K210" s="9">
        <v>117</v>
      </c>
      <c r="L210" s="14">
        <v>2220.6</v>
      </c>
      <c r="M210" s="14">
        <v>2220.6</v>
      </c>
      <c r="N210" s="14">
        <v>3975.84</v>
      </c>
      <c r="O210" s="14">
        <f t="shared" si="25"/>
        <v>-1755.2400000000002</v>
      </c>
      <c r="P210" s="14">
        <v>50</v>
      </c>
      <c r="Q210" s="21">
        <f>O210/2</f>
        <v>-877.62000000000012</v>
      </c>
      <c r="R210" s="6" t="s">
        <v>410</v>
      </c>
      <c r="S210" s="6" t="s">
        <v>366</v>
      </c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</row>
    <row r="211" spans="1:252" s="24" customFormat="1" ht="20" customHeight="1">
      <c r="A211" s="29">
        <v>201</v>
      </c>
      <c r="B211" s="1">
        <v>0.33</v>
      </c>
      <c r="C211" s="15" t="s">
        <v>328</v>
      </c>
      <c r="D211" s="53" t="s">
        <v>22</v>
      </c>
      <c r="E211" s="16">
        <v>42265</v>
      </c>
      <c r="F211" s="21" t="s">
        <v>561</v>
      </c>
      <c r="G211" s="6" t="s">
        <v>412</v>
      </c>
      <c r="H211" s="9">
        <v>600</v>
      </c>
      <c r="I211" s="22">
        <v>25</v>
      </c>
      <c r="J211" s="13">
        <f t="shared" si="24"/>
        <v>183226</v>
      </c>
      <c r="K211" s="9">
        <v>241</v>
      </c>
      <c r="L211" s="14">
        <v>5239.34</v>
      </c>
      <c r="M211" s="14">
        <v>5239.34</v>
      </c>
      <c r="N211" s="14">
        <v>8697.74</v>
      </c>
      <c r="O211" s="14">
        <f t="shared" si="25"/>
        <v>-3458.3999999999996</v>
      </c>
      <c r="P211" s="14">
        <v>50</v>
      </c>
      <c r="Q211" s="21">
        <f>O211/3</f>
        <v>-1152.8</v>
      </c>
      <c r="R211" s="6" t="s">
        <v>413</v>
      </c>
      <c r="S211" s="6" t="s">
        <v>83</v>
      </c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</row>
    <row r="212" spans="1:252" s="24" customFormat="1" ht="20" customHeight="1">
      <c r="A212" s="29">
        <v>202</v>
      </c>
      <c r="B212" s="1">
        <v>0.5</v>
      </c>
      <c r="C212" s="15" t="s">
        <v>20</v>
      </c>
      <c r="D212" s="53" t="s">
        <v>21</v>
      </c>
      <c r="E212" s="16">
        <v>42311</v>
      </c>
      <c r="F212" s="21" t="s">
        <v>523</v>
      </c>
      <c r="G212" s="6" t="s">
        <v>24</v>
      </c>
      <c r="H212" s="9">
        <v>2200</v>
      </c>
      <c r="I212" s="22" t="s">
        <v>415</v>
      </c>
      <c r="J212" s="13">
        <f t="shared" si="24"/>
        <v>185426</v>
      </c>
      <c r="K212" s="9">
        <v>2274</v>
      </c>
      <c r="L212" s="14">
        <v>69302.34</v>
      </c>
      <c r="M212" s="14">
        <f>L212+2988.38</f>
        <v>72290.720000000001</v>
      </c>
      <c r="N212" s="14">
        <v>59851.44</v>
      </c>
      <c r="O212" s="14">
        <f t="shared" si="25"/>
        <v>12439.279999999999</v>
      </c>
      <c r="P212" s="14">
        <v>50</v>
      </c>
      <c r="Q212" s="21">
        <f>O212/2</f>
        <v>6219.6399999999994</v>
      </c>
      <c r="R212" s="6" t="s">
        <v>70</v>
      </c>
      <c r="S212" s="6" t="s">
        <v>26</v>
      </c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</row>
    <row r="213" spans="1:252" s="52" customFormat="1" ht="20" customHeight="1">
      <c r="A213" s="43">
        <v>203</v>
      </c>
      <c r="B213" s="44">
        <v>0.5</v>
      </c>
      <c r="C213" s="45" t="s">
        <v>31</v>
      </c>
      <c r="D213" s="56" t="s">
        <v>23</v>
      </c>
      <c r="E213" s="47">
        <v>42233</v>
      </c>
      <c r="F213" s="48" t="s">
        <v>416</v>
      </c>
      <c r="G213" s="46" t="s">
        <v>135</v>
      </c>
      <c r="H213" s="43">
        <v>400</v>
      </c>
      <c r="I213" s="49" t="s">
        <v>200</v>
      </c>
      <c r="J213" s="50">
        <f t="shared" si="24"/>
        <v>185826</v>
      </c>
      <c r="K213" s="43"/>
      <c r="L213" s="51"/>
      <c r="M213" s="51"/>
      <c r="N213" s="51"/>
      <c r="O213" s="51">
        <v>0</v>
      </c>
      <c r="P213" s="51">
        <v>0</v>
      </c>
      <c r="Q213" s="48">
        <v>0</v>
      </c>
      <c r="R213" s="46" t="s">
        <v>417</v>
      </c>
      <c r="S213" s="46" t="s">
        <v>366</v>
      </c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  <c r="ER213" s="48"/>
      <c r="ES213" s="48"/>
      <c r="ET213" s="48"/>
      <c r="EU213" s="48"/>
      <c r="EV213" s="48"/>
      <c r="EW213" s="48"/>
      <c r="EX213" s="48"/>
      <c r="EY213" s="48"/>
      <c r="EZ213" s="48"/>
      <c r="FA213" s="48"/>
      <c r="FB213" s="48"/>
      <c r="FC213" s="48"/>
      <c r="FD213" s="48"/>
      <c r="FE213" s="48"/>
      <c r="FF213" s="48"/>
      <c r="FG213" s="48"/>
      <c r="FH213" s="48"/>
      <c r="FI213" s="48"/>
      <c r="FJ213" s="48"/>
      <c r="FK213" s="48"/>
      <c r="FL213" s="48"/>
      <c r="FM213" s="48"/>
      <c r="FN213" s="48"/>
      <c r="FO213" s="48"/>
      <c r="FP213" s="48"/>
      <c r="FQ213" s="48"/>
      <c r="FR213" s="48"/>
      <c r="FS213" s="48"/>
      <c r="FT213" s="48"/>
      <c r="FU213" s="48"/>
      <c r="FV213" s="48"/>
      <c r="FW213" s="48"/>
      <c r="FX213" s="48"/>
      <c r="FY213" s="48"/>
      <c r="FZ213" s="48"/>
      <c r="GA213" s="48"/>
      <c r="GB213" s="48"/>
      <c r="GC213" s="48"/>
      <c r="GD213" s="48"/>
      <c r="GE213" s="48"/>
      <c r="GF213" s="48"/>
      <c r="GG213" s="48"/>
      <c r="GH213" s="48"/>
      <c r="GI213" s="48"/>
      <c r="GJ213" s="48"/>
      <c r="GK213" s="48"/>
      <c r="GL213" s="48"/>
      <c r="GM213" s="48"/>
      <c r="GN213" s="48"/>
      <c r="GO213" s="48"/>
      <c r="GP213" s="48"/>
      <c r="GQ213" s="48"/>
      <c r="GR213" s="48"/>
      <c r="GS213" s="48"/>
      <c r="GT213" s="48"/>
      <c r="GU213" s="48"/>
      <c r="GV213" s="48"/>
      <c r="GW213" s="48"/>
      <c r="GX213" s="48"/>
      <c r="GY213" s="48"/>
      <c r="GZ213" s="48"/>
      <c r="HA213" s="48"/>
      <c r="HB213" s="48"/>
      <c r="HC213" s="48"/>
      <c r="HD213" s="48"/>
      <c r="HE213" s="48"/>
      <c r="HF213" s="48"/>
      <c r="HG213" s="48"/>
      <c r="HH213" s="48"/>
      <c r="HI213" s="48"/>
      <c r="HJ213" s="48"/>
      <c r="HK213" s="48"/>
      <c r="HL213" s="48"/>
      <c r="HM213" s="48"/>
      <c r="HN213" s="48"/>
      <c r="HO213" s="48"/>
      <c r="HP213" s="48"/>
      <c r="HQ213" s="48"/>
      <c r="HR213" s="48"/>
      <c r="HS213" s="48"/>
      <c r="HT213" s="48"/>
      <c r="HU213" s="48"/>
      <c r="HV213" s="48"/>
      <c r="HW213" s="48"/>
      <c r="HX213" s="48"/>
      <c r="HY213" s="48"/>
      <c r="HZ213" s="48"/>
      <c r="IA213" s="48"/>
      <c r="IB213" s="48"/>
      <c r="IC213" s="48"/>
      <c r="ID213" s="48"/>
      <c r="IE213" s="48"/>
      <c r="IF213" s="48"/>
      <c r="IG213" s="48"/>
      <c r="IH213" s="48"/>
      <c r="II213" s="48"/>
      <c r="IJ213" s="48"/>
      <c r="IK213" s="48"/>
      <c r="IL213" s="48"/>
      <c r="IM213" s="48"/>
      <c r="IN213" s="48"/>
      <c r="IO213" s="48"/>
      <c r="IP213" s="48"/>
      <c r="IQ213" s="48"/>
      <c r="IR213" s="48"/>
    </row>
    <row r="214" spans="1:252" s="24" customFormat="1" ht="20" customHeight="1">
      <c r="A214" s="29">
        <v>204</v>
      </c>
      <c r="B214" s="1">
        <v>0.5</v>
      </c>
      <c r="C214" s="15" t="s">
        <v>20</v>
      </c>
      <c r="D214" s="53" t="s">
        <v>418</v>
      </c>
      <c r="E214" s="16" t="s">
        <v>419</v>
      </c>
      <c r="F214" s="21" t="s">
        <v>636</v>
      </c>
      <c r="G214" s="6" t="s">
        <v>29</v>
      </c>
      <c r="H214" s="9">
        <v>1850</v>
      </c>
      <c r="I214" s="22" t="s">
        <v>219</v>
      </c>
      <c r="J214" s="13">
        <f t="shared" si="24"/>
        <v>187676</v>
      </c>
      <c r="K214" s="9">
        <v>1385</v>
      </c>
      <c r="L214" s="14">
        <v>45378.34</v>
      </c>
      <c r="M214" s="14">
        <f>L214+1821.92</f>
        <v>47200.259999999995</v>
      </c>
      <c r="N214" s="14">
        <v>37694.160000000003</v>
      </c>
      <c r="O214" s="14">
        <f>M214-N214</f>
        <v>9506.0999999999913</v>
      </c>
      <c r="P214" s="14">
        <v>50</v>
      </c>
      <c r="Q214" s="21">
        <f>O214/2</f>
        <v>4753.0499999999956</v>
      </c>
      <c r="R214" s="6" t="s">
        <v>371</v>
      </c>
      <c r="S214" s="6" t="s">
        <v>26</v>
      </c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</row>
    <row r="215" spans="1:252" s="24" customFormat="1" ht="20" customHeight="1">
      <c r="A215" s="29">
        <v>205</v>
      </c>
      <c r="B215" s="1">
        <v>0.5</v>
      </c>
      <c r="C215" s="15" t="s">
        <v>31</v>
      </c>
      <c r="D215" s="53" t="s">
        <v>22</v>
      </c>
      <c r="E215" s="16">
        <v>42300</v>
      </c>
      <c r="F215" s="21" t="s">
        <v>420</v>
      </c>
      <c r="G215" s="6" t="s">
        <v>143</v>
      </c>
      <c r="H215" s="9">
        <v>900</v>
      </c>
      <c r="I215" s="22" t="s">
        <v>421</v>
      </c>
      <c r="J215" s="13">
        <f t="shared" si="24"/>
        <v>188576</v>
      </c>
      <c r="K215" s="9">
        <v>663</v>
      </c>
      <c r="L215" s="14">
        <v>11272.68</v>
      </c>
      <c r="M215" s="14">
        <v>11272.68</v>
      </c>
      <c r="N215" s="14">
        <f>6023.25+4724.68</f>
        <v>10747.93</v>
      </c>
      <c r="O215" s="14">
        <f>M215-N215</f>
        <v>524.75</v>
      </c>
      <c r="P215" s="14">
        <v>50</v>
      </c>
      <c r="Q215" s="21">
        <f>O215/2</f>
        <v>262.375</v>
      </c>
      <c r="R215" s="6" t="s">
        <v>422</v>
      </c>
      <c r="S215" s="6" t="s">
        <v>80</v>
      </c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</row>
    <row r="216" spans="1:252" s="24" customFormat="1" ht="20" customHeight="1">
      <c r="A216" s="29">
        <v>206</v>
      </c>
      <c r="B216" s="1">
        <v>0.5</v>
      </c>
      <c r="C216" s="15" t="s">
        <v>31</v>
      </c>
      <c r="D216" s="53" t="s">
        <v>139</v>
      </c>
      <c r="E216" s="16">
        <v>42281</v>
      </c>
      <c r="F216" s="21" t="s">
        <v>556</v>
      </c>
      <c r="G216" s="6" t="s">
        <v>186</v>
      </c>
      <c r="H216" s="9">
        <v>500</v>
      </c>
      <c r="I216" s="22" t="s">
        <v>141</v>
      </c>
      <c r="J216" s="13">
        <f t="shared" si="24"/>
        <v>189076</v>
      </c>
      <c r="K216" s="9">
        <v>400</v>
      </c>
      <c r="L216" s="14">
        <v>7765.75</v>
      </c>
      <c r="M216" s="14">
        <v>7765.75</v>
      </c>
      <c r="N216" s="14">
        <v>7211.84</v>
      </c>
      <c r="O216" s="14">
        <f>M216-N216</f>
        <v>553.90999999999985</v>
      </c>
      <c r="P216" s="14">
        <v>50</v>
      </c>
      <c r="Q216" s="21">
        <f>O216/2</f>
        <v>276.95499999999993</v>
      </c>
      <c r="R216" s="6" t="s">
        <v>130</v>
      </c>
      <c r="S216" s="6" t="s">
        <v>83</v>
      </c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</row>
    <row r="217" spans="1:252" s="24" customFormat="1" ht="20" customHeight="1">
      <c r="A217" s="29">
        <v>207</v>
      </c>
      <c r="B217" s="1">
        <v>0.33</v>
      </c>
      <c r="C217" s="15" t="s">
        <v>31</v>
      </c>
      <c r="D217" s="53" t="s">
        <v>21</v>
      </c>
      <c r="E217" s="16">
        <v>42269</v>
      </c>
      <c r="F217" s="21" t="s">
        <v>437</v>
      </c>
      <c r="G217" s="6" t="s">
        <v>85</v>
      </c>
      <c r="H217" s="9">
        <v>300</v>
      </c>
      <c r="I217" s="22" t="s">
        <v>38</v>
      </c>
      <c r="J217" s="13">
        <f t="shared" si="24"/>
        <v>189376</v>
      </c>
      <c r="K217" s="9">
        <v>226</v>
      </c>
      <c r="L217" s="14">
        <v>3642.96</v>
      </c>
      <c r="M217" s="14">
        <v>3642.96</v>
      </c>
      <c r="N217" s="14">
        <v>3768.99</v>
      </c>
      <c r="O217" s="14">
        <f>M217-N217</f>
        <v>-126.02999999999975</v>
      </c>
      <c r="P217" s="14">
        <v>33</v>
      </c>
      <c r="Q217" s="21">
        <f>O217/3</f>
        <v>-42.009999999999913</v>
      </c>
      <c r="R217" s="6" t="s">
        <v>423</v>
      </c>
      <c r="S217" s="6" t="s">
        <v>366</v>
      </c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</row>
    <row r="218" spans="1:252" s="24" customFormat="1" ht="20" customHeight="1">
      <c r="A218" s="29">
        <v>208</v>
      </c>
      <c r="B218" s="1">
        <v>0.5</v>
      </c>
      <c r="C218" s="15" t="s">
        <v>20</v>
      </c>
      <c r="D218" s="53" t="s">
        <v>73</v>
      </c>
      <c r="E218" s="16" t="s">
        <v>424</v>
      </c>
      <c r="F218" s="21" t="s">
        <v>655</v>
      </c>
      <c r="G218" s="6" t="s">
        <v>24</v>
      </c>
      <c r="H218" s="9">
        <v>4400</v>
      </c>
      <c r="I218" s="22" t="s">
        <v>425</v>
      </c>
      <c r="J218" s="13">
        <f t="shared" si="24"/>
        <v>193776</v>
      </c>
      <c r="K218" s="9"/>
      <c r="L218" s="14"/>
      <c r="M218" s="14"/>
      <c r="N218" s="14"/>
      <c r="O218" s="14">
        <v>0</v>
      </c>
      <c r="P218" s="14">
        <v>0</v>
      </c>
      <c r="Q218" s="21">
        <v>0</v>
      </c>
      <c r="R218" s="6" t="s">
        <v>426</v>
      </c>
      <c r="S218" s="6" t="s">
        <v>80</v>
      </c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</row>
    <row r="219" spans="1:252" s="52" customFormat="1" ht="20" customHeight="1">
      <c r="A219" s="43">
        <v>209</v>
      </c>
      <c r="B219" s="44">
        <v>0.5</v>
      </c>
      <c r="C219" s="45" t="s">
        <v>31</v>
      </c>
      <c r="D219" s="56" t="s">
        <v>139</v>
      </c>
      <c r="E219" s="47">
        <v>42281</v>
      </c>
      <c r="F219" s="48" t="s">
        <v>443</v>
      </c>
      <c r="G219" s="46" t="s">
        <v>427</v>
      </c>
      <c r="H219" s="43">
        <v>320</v>
      </c>
      <c r="I219" s="49" t="s">
        <v>428</v>
      </c>
      <c r="J219" s="50">
        <f t="shared" si="24"/>
        <v>194096</v>
      </c>
      <c r="K219" s="43"/>
      <c r="L219" s="51">
        <v>0</v>
      </c>
      <c r="M219" s="51">
        <v>0</v>
      </c>
      <c r="N219" s="51">
        <v>-1018.45</v>
      </c>
      <c r="O219" s="51">
        <f>N219</f>
        <v>-1018.45</v>
      </c>
      <c r="P219" s="51">
        <v>50</v>
      </c>
      <c r="Q219" s="48">
        <f>O219/2</f>
        <v>-509.22500000000002</v>
      </c>
      <c r="R219" s="46" t="s">
        <v>58</v>
      </c>
      <c r="S219" s="46" t="s">
        <v>366</v>
      </c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  <c r="ER219" s="48"/>
      <c r="ES219" s="48"/>
      <c r="ET219" s="48"/>
      <c r="EU219" s="48"/>
      <c r="EV219" s="48"/>
      <c r="EW219" s="48"/>
      <c r="EX219" s="48"/>
      <c r="EY219" s="48"/>
      <c r="EZ219" s="48"/>
      <c r="FA219" s="48"/>
      <c r="FB219" s="48"/>
      <c r="FC219" s="48"/>
      <c r="FD219" s="48"/>
      <c r="FE219" s="48"/>
      <c r="FF219" s="48"/>
      <c r="FG219" s="48"/>
      <c r="FH219" s="48"/>
      <c r="FI219" s="48"/>
      <c r="FJ219" s="48"/>
      <c r="FK219" s="48"/>
      <c r="FL219" s="48"/>
      <c r="FM219" s="48"/>
      <c r="FN219" s="48"/>
      <c r="FO219" s="48"/>
      <c r="FP219" s="48"/>
      <c r="FQ219" s="48"/>
      <c r="FR219" s="48"/>
      <c r="FS219" s="48"/>
      <c r="FT219" s="48"/>
      <c r="FU219" s="48"/>
      <c r="FV219" s="48"/>
      <c r="FW219" s="48"/>
      <c r="FX219" s="48"/>
      <c r="FY219" s="48"/>
      <c r="FZ219" s="48"/>
      <c r="GA219" s="48"/>
      <c r="GB219" s="48"/>
      <c r="GC219" s="48"/>
      <c r="GD219" s="48"/>
      <c r="GE219" s="48"/>
      <c r="GF219" s="48"/>
      <c r="GG219" s="48"/>
      <c r="GH219" s="48"/>
      <c r="GI219" s="48"/>
      <c r="GJ219" s="48"/>
      <c r="GK219" s="48"/>
      <c r="GL219" s="48"/>
      <c r="GM219" s="48"/>
      <c r="GN219" s="48"/>
      <c r="GO219" s="48"/>
      <c r="GP219" s="48"/>
      <c r="GQ219" s="48"/>
      <c r="GR219" s="48"/>
      <c r="GS219" s="48"/>
      <c r="GT219" s="48"/>
      <c r="GU219" s="48"/>
      <c r="GV219" s="48"/>
      <c r="GW219" s="48"/>
      <c r="GX219" s="48"/>
      <c r="GY219" s="48"/>
      <c r="GZ219" s="48"/>
      <c r="HA219" s="48"/>
      <c r="HB219" s="48"/>
      <c r="HC219" s="48"/>
      <c r="HD219" s="48"/>
      <c r="HE219" s="48"/>
      <c r="HF219" s="48"/>
      <c r="HG219" s="48"/>
      <c r="HH219" s="48"/>
      <c r="HI219" s="48"/>
      <c r="HJ219" s="48"/>
      <c r="HK219" s="48"/>
      <c r="HL219" s="48"/>
      <c r="HM219" s="48"/>
      <c r="HN219" s="48"/>
      <c r="HO219" s="48"/>
      <c r="HP219" s="48"/>
      <c r="HQ219" s="48"/>
      <c r="HR219" s="48"/>
      <c r="HS219" s="48"/>
      <c r="HT219" s="48"/>
      <c r="HU219" s="48"/>
      <c r="HV219" s="48"/>
      <c r="HW219" s="48"/>
      <c r="HX219" s="48"/>
      <c r="HY219" s="48"/>
      <c r="HZ219" s="48"/>
      <c r="IA219" s="48"/>
      <c r="IB219" s="48"/>
      <c r="IC219" s="48"/>
      <c r="ID219" s="48"/>
      <c r="IE219" s="48"/>
      <c r="IF219" s="48"/>
      <c r="IG219" s="48"/>
      <c r="IH219" s="48"/>
      <c r="II219" s="48"/>
      <c r="IJ219" s="48"/>
      <c r="IK219" s="48"/>
      <c r="IL219" s="48"/>
      <c r="IM219" s="48"/>
      <c r="IN219" s="48"/>
      <c r="IO219" s="48"/>
      <c r="IP219" s="48"/>
      <c r="IQ219" s="48"/>
      <c r="IR219" s="48"/>
    </row>
    <row r="220" spans="1:252" s="24" customFormat="1" ht="20" customHeight="1">
      <c r="A220" s="29">
        <v>210</v>
      </c>
      <c r="B220" s="1">
        <v>0.5</v>
      </c>
      <c r="C220" s="15" t="s">
        <v>31</v>
      </c>
      <c r="D220" s="53" t="s">
        <v>21</v>
      </c>
      <c r="E220" s="16">
        <v>42297</v>
      </c>
      <c r="F220" s="21" t="s">
        <v>585</v>
      </c>
      <c r="G220" s="6" t="s">
        <v>429</v>
      </c>
      <c r="H220" s="9">
        <v>150</v>
      </c>
      <c r="I220" s="22" t="s">
        <v>86</v>
      </c>
      <c r="J220" s="13">
        <f t="shared" si="24"/>
        <v>194246</v>
      </c>
      <c r="K220" s="9">
        <v>105</v>
      </c>
      <c r="L220" s="14">
        <v>1246</v>
      </c>
      <c r="M220" s="14">
        <v>1246</v>
      </c>
      <c r="N220" s="14">
        <v>1398.89</v>
      </c>
      <c r="O220" s="14">
        <f>M220-N220</f>
        <v>-152.8900000000001</v>
      </c>
      <c r="P220" s="14">
        <v>50</v>
      </c>
      <c r="Q220" s="21">
        <f>O220/2</f>
        <v>-76.44500000000005</v>
      </c>
      <c r="R220" s="6" t="s">
        <v>430</v>
      </c>
      <c r="S220" s="6" t="s">
        <v>431</v>
      </c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</row>
    <row r="221" spans="1:252" s="24" customFormat="1" ht="20" customHeight="1">
      <c r="A221" s="29">
        <v>211</v>
      </c>
      <c r="B221" s="1">
        <v>0.5</v>
      </c>
      <c r="C221" s="15" t="s">
        <v>31</v>
      </c>
      <c r="D221" s="53" t="s">
        <v>75</v>
      </c>
      <c r="E221" s="16">
        <v>42312</v>
      </c>
      <c r="F221" s="21" t="s">
        <v>477</v>
      </c>
      <c r="G221" s="6" t="s">
        <v>56</v>
      </c>
      <c r="H221" s="9">
        <v>300</v>
      </c>
      <c r="I221" s="22" t="s">
        <v>57</v>
      </c>
      <c r="J221" s="13">
        <f t="shared" si="24"/>
        <v>194546</v>
      </c>
      <c r="K221" s="9">
        <v>191</v>
      </c>
      <c r="L221" s="14">
        <v>2730.31</v>
      </c>
      <c r="M221" s="14">
        <v>2730.31</v>
      </c>
      <c r="N221" s="14">
        <v>3437.07</v>
      </c>
      <c r="O221" s="14">
        <f>M221-N221</f>
        <v>-706.76000000000022</v>
      </c>
      <c r="P221" s="14">
        <v>50</v>
      </c>
      <c r="Q221" s="21">
        <f>O221/2</f>
        <v>-353.38000000000011</v>
      </c>
      <c r="R221" s="6" t="s">
        <v>346</v>
      </c>
      <c r="S221" s="6" t="s">
        <v>366</v>
      </c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</row>
    <row r="222" spans="1:252" s="24" customFormat="1" ht="20" customHeight="1">
      <c r="A222" s="29">
        <v>212</v>
      </c>
      <c r="B222" s="1">
        <v>0.5</v>
      </c>
      <c r="C222" s="15" t="s">
        <v>20</v>
      </c>
      <c r="D222" s="53" t="s">
        <v>27</v>
      </c>
      <c r="E222" s="16">
        <v>42278</v>
      </c>
      <c r="F222" s="21" t="s">
        <v>555</v>
      </c>
      <c r="G222" s="6" t="s">
        <v>29</v>
      </c>
      <c r="H222" s="9">
        <v>925</v>
      </c>
      <c r="I222" s="22" t="s">
        <v>438</v>
      </c>
      <c r="J222" s="13">
        <f t="shared" si="24"/>
        <v>195471</v>
      </c>
      <c r="K222" s="9">
        <v>478</v>
      </c>
      <c r="L222" s="14">
        <v>9964.5499999999993</v>
      </c>
      <c r="M222" s="14">
        <f>L222+441.4</f>
        <v>10405.949999999999</v>
      </c>
      <c r="N222" s="14">
        <v>11046.58</v>
      </c>
      <c r="O222" s="14">
        <f>M222-N222</f>
        <v>-640.63000000000102</v>
      </c>
      <c r="P222" s="14">
        <v>50</v>
      </c>
      <c r="Q222" s="21">
        <f>O222/2</f>
        <v>-320.31500000000051</v>
      </c>
      <c r="R222" s="6" t="s">
        <v>346</v>
      </c>
      <c r="S222" s="6" t="s">
        <v>366</v>
      </c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</row>
    <row r="223" spans="1:252" s="24" customFormat="1" ht="20" customHeight="1">
      <c r="A223" s="29">
        <v>213</v>
      </c>
      <c r="B223" s="1">
        <v>0.5</v>
      </c>
      <c r="C223" s="15" t="s">
        <v>20</v>
      </c>
      <c r="D223" s="53" t="s">
        <v>22</v>
      </c>
      <c r="E223" s="16">
        <v>42265</v>
      </c>
      <c r="F223" s="21" t="s">
        <v>529</v>
      </c>
      <c r="G223" s="6" t="s">
        <v>67</v>
      </c>
      <c r="H223" s="9">
        <v>2250</v>
      </c>
      <c r="I223" s="22" t="s">
        <v>439</v>
      </c>
      <c r="J223" s="13">
        <f t="shared" si="24"/>
        <v>197721</v>
      </c>
      <c r="K223" s="9">
        <v>2250</v>
      </c>
      <c r="L223" s="14">
        <v>102757.5</v>
      </c>
      <c r="M223" s="14">
        <f>L223+3818.15</f>
        <v>106575.65</v>
      </c>
      <c r="N223" s="14">
        <v>97629.97</v>
      </c>
      <c r="O223" s="14">
        <f>M223-N223</f>
        <v>8945.679999999993</v>
      </c>
      <c r="P223" s="14">
        <v>50</v>
      </c>
      <c r="Q223" s="21">
        <f>O223/2</f>
        <v>4472.8399999999965</v>
      </c>
      <c r="R223" s="6" t="s">
        <v>440</v>
      </c>
      <c r="S223" s="6" t="s">
        <v>366</v>
      </c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</row>
    <row r="224" spans="1:252" s="52" customFormat="1" ht="20" customHeight="1">
      <c r="A224" s="43">
        <v>214</v>
      </c>
      <c r="B224" s="44">
        <v>0.45</v>
      </c>
      <c r="C224" s="45" t="s">
        <v>31</v>
      </c>
      <c r="D224" s="56" t="s">
        <v>139</v>
      </c>
      <c r="E224" s="47">
        <v>42330</v>
      </c>
      <c r="F224" s="48" t="s">
        <v>441</v>
      </c>
      <c r="G224" s="46" t="s">
        <v>110</v>
      </c>
      <c r="H224" s="43">
        <v>250</v>
      </c>
      <c r="I224" s="49" t="s">
        <v>38</v>
      </c>
      <c r="J224" s="50">
        <f t="shared" si="24"/>
        <v>197971</v>
      </c>
      <c r="K224" s="43"/>
      <c r="L224" s="51"/>
      <c r="M224" s="51"/>
      <c r="N224" s="51"/>
      <c r="O224" s="51">
        <v>-64.959999999999994</v>
      </c>
      <c r="P224" s="51">
        <v>0.5</v>
      </c>
      <c r="Q224" s="48">
        <f>P224*O224</f>
        <v>-32.479999999999997</v>
      </c>
      <c r="R224" s="46" t="s">
        <v>134</v>
      </c>
      <c r="S224" s="46" t="s">
        <v>83</v>
      </c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  <c r="ER224" s="48"/>
      <c r="ES224" s="48"/>
      <c r="ET224" s="48"/>
      <c r="EU224" s="48"/>
      <c r="EV224" s="48"/>
      <c r="EW224" s="48"/>
      <c r="EX224" s="48"/>
      <c r="EY224" s="48"/>
      <c r="EZ224" s="48"/>
      <c r="FA224" s="48"/>
      <c r="FB224" s="48"/>
      <c r="FC224" s="48"/>
      <c r="FD224" s="48"/>
      <c r="FE224" s="48"/>
      <c r="FF224" s="48"/>
      <c r="FG224" s="48"/>
      <c r="FH224" s="48"/>
      <c r="FI224" s="48"/>
      <c r="FJ224" s="48"/>
      <c r="FK224" s="48"/>
      <c r="FL224" s="48"/>
      <c r="FM224" s="48"/>
      <c r="FN224" s="48"/>
      <c r="FO224" s="48"/>
      <c r="FP224" s="48"/>
      <c r="FQ224" s="48"/>
      <c r="FR224" s="48"/>
      <c r="FS224" s="48"/>
      <c r="FT224" s="48"/>
      <c r="FU224" s="48"/>
      <c r="FV224" s="48"/>
      <c r="FW224" s="48"/>
      <c r="FX224" s="48"/>
      <c r="FY224" s="48"/>
      <c r="FZ224" s="48"/>
      <c r="GA224" s="48"/>
      <c r="GB224" s="48"/>
      <c r="GC224" s="48"/>
      <c r="GD224" s="48"/>
      <c r="GE224" s="48"/>
      <c r="GF224" s="48"/>
      <c r="GG224" s="48"/>
      <c r="GH224" s="48"/>
      <c r="GI224" s="48"/>
      <c r="GJ224" s="48"/>
      <c r="GK224" s="48"/>
      <c r="GL224" s="48"/>
      <c r="GM224" s="48"/>
      <c r="GN224" s="48"/>
      <c r="GO224" s="48"/>
      <c r="GP224" s="48"/>
      <c r="GQ224" s="48"/>
      <c r="GR224" s="48"/>
      <c r="GS224" s="48"/>
      <c r="GT224" s="48"/>
      <c r="GU224" s="48"/>
      <c r="GV224" s="48"/>
      <c r="GW224" s="48"/>
      <c r="GX224" s="48"/>
      <c r="GY224" s="48"/>
      <c r="GZ224" s="48"/>
      <c r="HA224" s="48"/>
      <c r="HB224" s="48"/>
      <c r="HC224" s="48"/>
      <c r="HD224" s="48"/>
      <c r="HE224" s="48"/>
      <c r="HF224" s="48"/>
      <c r="HG224" s="48"/>
      <c r="HH224" s="48"/>
      <c r="HI224" s="48"/>
      <c r="HJ224" s="48"/>
      <c r="HK224" s="48"/>
      <c r="HL224" s="48"/>
      <c r="HM224" s="48"/>
      <c r="HN224" s="48"/>
      <c r="HO224" s="48"/>
      <c r="HP224" s="48"/>
      <c r="HQ224" s="48"/>
      <c r="HR224" s="48"/>
      <c r="HS224" s="48"/>
      <c r="HT224" s="48"/>
      <c r="HU224" s="48"/>
      <c r="HV224" s="48"/>
      <c r="HW224" s="48"/>
      <c r="HX224" s="48"/>
      <c r="HY224" s="48"/>
      <c r="HZ224" s="48"/>
      <c r="IA224" s="48"/>
      <c r="IB224" s="48"/>
      <c r="IC224" s="48"/>
      <c r="ID224" s="48"/>
      <c r="IE224" s="48"/>
      <c r="IF224" s="48"/>
      <c r="IG224" s="48"/>
      <c r="IH224" s="48"/>
      <c r="II224" s="48"/>
      <c r="IJ224" s="48"/>
      <c r="IK224" s="48"/>
      <c r="IL224" s="48"/>
      <c r="IM224" s="48"/>
      <c r="IN224" s="48"/>
      <c r="IO224" s="48"/>
      <c r="IP224" s="48"/>
      <c r="IQ224" s="48"/>
      <c r="IR224" s="48"/>
    </row>
    <row r="225" spans="1:252" s="24" customFormat="1" ht="20" customHeight="1">
      <c r="A225" s="29">
        <v>215</v>
      </c>
      <c r="B225" s="1">
        <v>0.5</v>
      </c>
      <c r="C225" s="15" t="s">
        <v>20</v>
      </c>
      <c r="D225" s="53" t="s">
        <v>27</v>
      </c>
      <c r="E225" s="16">
        <v>42271</v>
      </c>
      <c r="F225" s="21" t="s">
        <v>482</v>
      </c>
      <c r="G225" s="6" t="s">
        <v>24</v>
      </c>
      <c r="H225" s="9">
        <v>2200</v>
      </c>
      <c r="I225" s="22">
        <v>45.5</v>
      </c>
      <c r="J225" s="13">
        <f t="shared" si="24"/>
        <v>200171</v>
      </c>
      <c r="K225" s="9">
        <v>2278</v>
      </c>
      <c r="L225" s="14">
        <v>90140.46</v>
      </c>
      <c r="M225" s="14">
        <f>L225+3051.6</f>
        <v>93192.060000000012</v>
      </c>
      <c r="N225" s="14">
        <v>80782.259999999995</v>
      </c>
      <c r="O225" s="14">
        <f t="shared" ref="O225:O233" si="26">M225-N225</f>
        <v>12409.800000000017</v>
      </c>
      <c r="P225" s="14">
        <v>50</v>
      </c>
      <c r="Q225" s="21">
        <f t="shared" ref="Q225:Q232" si="27">O225/2</f>
        <v>6204.9000000000087</v>
      </c>
      <c r="R225" s="6" t="s">
        <v>263</v>
      </c>
      <c r="S225" s="6" t="s">
        <v>25</v>
      </c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</row>
    <row r="226" spans="1:252" s="24" customFormat="1" ht="20" customHeight="1">
      <c r="A226" s="29">
        <v>216</v>
      </c>
      <c r="B226" s="1">
        <v>0.5</v>
      </c>
      <c r="C226" s="15" t="s">
        <v>31</v>
      </c>
      <c r="D226" s="53" t="s">
        <v>139</v>
      </c>
      <c r="E226" s="16">
        <v>42218</v>
      </c>
      <c r="F226" s="21" t="s">
        <v>446</v>
      </c>
      <c r="G226" s="6" t="s">
        <v>274</v>
      </c>
      <c r="H226" s="9">
        <v>300</v>
      </c>
      <c r="I226" s="22">
        <v>12</v>
      </c>
      <c r="J226" s="13">
        <f t="shared" si="24"/>
        <v>200471</v>
      </c>
      <c r="K226" s="9">
        <v>74</v>
      </c>
      <c r="L226" s="14">
        <v>772.56</v>
      </c>
      <c r="M226" s="14">
        <v>772.56</v>
      </c>
      <c r="N226" s="14">
        <v>2231.6799999999998</v>
      </c>
      <c r="O226" s="14">
        <f t="shared" si="26"/>
        <v>-1459.12</v>
      </c>
      <c r="P226" s="14">
        <v>50</v>
      </c>
      <c r="Q226" s="21">
        <f t="shared" si="27"/>
        <v>-729.56</v>
      </c>
      <c r="R226" s="6" t="s">
        <v>447</v>
      </c>
      <c r="S226" s="6" t="s">
        <v>83</v>
      </c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</row>
    <row r="227" spans="1:252" s="24" customFormat="1" ht="20" customHeight="1">
      <c r="A227" s="29">
        <v>217</v>
      </c>
      <c r="B227" s="1">
        <v>0.5</v>
      </c>
      <c r="C227" s="15" t="s">
        <v>20</v>
      </c>
      <c r="D227" s="53" t="s">
        <v>21</v>
      </c>
      <c r="E227" s="16">
        <v>42297</v>
      </c>
      <c r="F227" s="21" t="s">
        <v>639</v>
      </c>
      <c r="G227" s="6" t="s">
        <v>24</v>
      </c>
      <c r="H227" s="9">
        <v>2200</v>
      </c>
      <c r="I227" s="22">
        <v>60</v>
      </c>
      <c r="J227" s="13">
        <f t="shared" si="24"/>
        <v>202671</v>
      </c>
      <c r="K227" s="9">
        <v>2043</v>
      </c>
      <c r="L227" s="14">
        <v>106603.74</v>
      </c>
      <c r="M227" s="14">
        <f>L227+2709.41</f>
        <v>109313.15000000001</v>
      </c>
      <c r="N227" s="14">
        <v>108206.05</v>
      </c>
      <c r="O227" s="14">
        <f t="shared" si="26"/>
        <v>1107.1000000000058</v>
      </c>
      <c r="P227" s="14">
        <v>50</v>
      </c>
      <c r="Q227" s="21">
        <f t="shared" si="27"/>
        <v>553.55000000000291</v>
      </c>
      <c r="R227" s="6" t="s">
        <v>347</v>
      </c>
      <c r="S227" s="6" t="s">
        <v>25</v>
      </c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</row>
    <row r="228" spans="1:252" s="24" customFormat="1" ht="20" customHeight="1">
      <c r="A228" s="29">
        <v>218</v>
      </c>
      <c r="B228" s="1">
        <v>0.33</v>
      </c>
      <c r="C228" s="15" t="s">
        <v>361</v>
      </c>
      <c r="D228" s="53" t="s">
        <v>22</v>
      </c>
      <c r="E228" s="16">
        <v>42307</v>
      </c>
      <c r="F228" s="21" t="s">
        <v>581</v>
      </c>
      <c r="G228" s="6" t="s">
        <v>186</v>
      </c>
      <c r="H228" s="9">
        <v>500</v>
      </c>
      <c r="I228" s="22" t="s">
        <v>376</v>
      </c>
      <c r="J228" s="13">
        <f t="shared" si="24"/>
        <v>203171</v>
      </c>
      <c r="K228" s="9">
        <v>345</v>
      </c>
      <c r="L228" s="14">
        <v>6025.65</v>
      </c>
      <c r="M228" s="14">
        <v>6025.65</v>
      </c>
      <c r="N228" s="14">
        <v>6508.26</v>
      </c>
      <c r="O228" s="14">
        <f t="shared" si="26"/>
        <v>-482.61000000000058</v>
      </c>
      <c r="P228" s="14">
        <v>50</v>
      </c>
      <c r="Q228" s="21">
        <f t="shared" si="27"/>
        <v>-241.30500000000029</v>
      </c>
      <c r="R228" s="6" t="s">
        <v>130</v>
      </c>
      <c r="S228" s="6" t="s">
        <v>83</v>
      </c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</row>
    <row r="229" spans="1:252" s="24" customFormat="1" ht="20" customHeight="1">
      <c r="A229" s="29">
        <v>219</v>
      </c>
      <c r="B229" s="1">
        <v>0.5</v>
      </c>
      <c r="C229" s="15" t="s">
        <v>20</v>
      </c>
      <c r="D229" s="53" t="s">
        <v>32</v>
      </c>
      <c r="E229" s="16">
        <v>42273</v>
      </c>
      <c r="F229" s="21" t="s">
        <v>480</v>
      </c>
      <c r="G229" s="6" t="s">
        <v>29</v>
      </c>
      <c r="H229" s="9">
        <v>925</v>
      </c>
      <c r="I229" s="22" t="s">
        <v>333</v>
      </c>
      <c r="J229" s="13">
        <f>H229+J228</f>
        <v>204096</v>
      </c>
      <c r="K229" s="9">
        <v>416</v>
      </c>
      <c r="L229" s="14">
        <v>14567.42</v>
      </c>
      <c r="M229" s="14">
        <f>L229+480.97</f>
        <v>15048.39</v>
      </c>
      <c r="N229" s="14">
        <v>20524.43</v>
      </c>
      <c r="O229" s="14">
        <f t="shared" si="26"/>
        <v>-5476.0400000000009</v>
      </c>
      <c r="P229" s="14">
        <v>50</v>
      </c>
      <c r="Q229" s="21">
        <f t="shared" si="27"/>
        <v>-2738.0200000000004</v>
      </c>
      <c r="R229" s="6" t="s">
        <v>234</v>
      </c>
      <c r="S229" s="6" t="s">
        <v>26</v>
      </c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</row>
    <row r="230" spans="1:252" s="24" customFormat="1" ht="20" customHeight="1">
      <c r="A230" s="29">
        <v>220</v>
      </c>
      <c r="B230" s="1">
        <v>0.5</v>
      </c>
      <c r="C230" s="15" t="s">
        <v>20</v>
      </c>
      <c r="D230" s="53" t="s">
        <v>75</v>
      </c>
      <c r="E230" s="16">
        <v>42333</v>
      </c>
      <c r="F230" s="21" t="s">
        <v>643</v>
      </c>
      <c r="G230" s="6" t="s">
        <v>29</v>
      </c>
      <c r="H230" s="9">
        <v>589</v>
      </c>
      <c r="I230" s="22" t="s">
        <v>448</v>
      </c>
      <c r="J230" s="13">
        <f t="shared" ref="J230:J252" si="28">J229+H230</f>
        <v>204685</v>
      </c>
      <c r="K230" s="9">
        <v>554</v>
      </c>
      <c r="L230" s="14">
        <v>11833.05</v>
      </c>
      <c r="M230" s="14">
        <f>L230+718.42</f>
        <v>12551.47</v>
      </c>
      <c r="N230" s="14">
        <v>9932.3700000000008</v>
      </c>
      <c r="O230" s="14">
        <f t="shared" si="26"/>
        <v>2619.0999999999985</v>
      </c>
      <c r="P230" s="14">
        <v>50</v>
      </c>
      <c r="Q230" s="21">
        <f t="shared" si="27"/>
        <v>1309.5499999999993</v>
      </c>
      <c r="R230" s="6" t="s">
        <v>449</v>
      </c>
      <c r="S230" s="6" t="s">
        <v>26</v>
      </c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</row>
    <row r="231" spans="1:252" s="24" customFormat="1" ht="20" customHeight="1">
      <c r="A231" s="29">
        <v>221</v>
      </c>
      <c r="B231" s="1">
        <v>0.5</v>
      </c>
      <c r="C231" s="15" t="s">
        <v>31</v>
      </c>
      <c r="D231" s="53" t="s">
        <v>22</v>
      </c>
      <c r="E231" s="16">
        <v>42335</v>
      </c>
      <c r="F231" s="21" t="s">
        <v>481</v>
      </c>
      <c r="G231" s="6" t="s">
        <v>85</v>
      </c>
      <c r="H231" s="9">
        <v>300</v>
      </c>
      <c r="I231" s="22" t="s">
        <v>200</v>
      </c>
      <c r="J231" s="13">
        <f t="shared" si="28"/>
        <v>204985</v>
      </c>
      <c r="K231" s="9">
        <v>173</v>
      </c>
      <c r="L231" s="14">
        <v>2312.46</v>
      </c>
      <c r="M231" s="14">
        <v>2312.46</v>
      </c>
      <c r="N231" s="14">
        <v>2657.91</v>
      </c>
      <c r="O231" s="14">
        <f t="shared" si="26"/>
        <v>-345.44999999999982</v>
      </c>
      <c r="P231" s="14">
        <v>50</v>
      </c>
      <c r="Q231" s="21">
        <f t="shared" si="27"/>
        <v>-172.72499999999991</v>
      </c>
      <c r="R231" s="6" t="s">
        <v>450</v>
      </c>
      <c r="S231" s="6" t="s">
        <v>366</v>
      </c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</row>
    <row r="232" spans="1:252" s="24" customFormat="1" ht="20" customHeight="1">
      <c r="A232" s="29">
        <v>222</v>
      </c>
      <c r="B232" s="1">
        <v>0.5</v>
      </c>
      <c r="C232" s="15" t="s">
        <v>20</v>
      </c>
      <c r="D232" s="53" t="s">
        <v>23</v>
      </c>
      <c r="E232" s="16">
        <v>42268</v>
      </c>
      <c r="F232" s="21" t="s">
        <v>463</v>
      </c>
      <c r="G232" s="6" t="s">
        <v>451</v>
      </c>
      <c r="H232" s="9">
        <v>2200</v>
      </c>
      <c r="I232" s="22" t="s">
        <v>452</v>
      </c>
      <c r="J232" s="13">
        <f t="shared" si="28"/>
        <v>207185</v>
      </c>
      <c r="K232" s="9">
        <v>1125</v>
      </c>
      <c r="L232" s="14">
        <v>48689.91</v>
      </c>
      <c r="M232" s="14">
        <f>L232+1240.35</f>
        <v>49930.26</v>
      </c>
      <c r="N232" s="14">
        <v>68339.77</v>
      </c>
      <c r="O232" s="14">
        <f t="shared" si="26"/>
        <v>-18409.510000000002</v>
      </c>
      <c r="P232" s="14">
        <v>50</v>
      </c>
      <c r="Q232" s="21">
        <f t="shared" si="27"/>
        <v>-9204.755000000001</v>
      </c>
      <c r="R232" s="6" t="s">
        <v>58</v>
      </c>
      <c r="S232" s="6" t="s">
        <v>25</v>
      </c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</row>
    <row r="233" spans="1:252" s="24" customFormat="1" ht="20" customHeight="1">
      <c r="A233" s="29">
        <v>223</v>
      </c>
      <c r="B233" s="54">
        <v>2.5000000000000001E-2</v>
      </c>
      <c r="C233" s="15" t="s">
        <v>459</v>
      </c>
      <c r="D233" s="53" t="s">
        <v>453</v>
      </c>
      <c r="E233" s="16" t="s">
        <v>454</v>
      </c>
      <c r="F233" s="21" t="s">
        <v>648</v>
      </c>
      <c r="G233" s="6" t="s">
        <v>451</v>
      </c>
      <c r="H233" s="9">
        <v>6450</v>
      </c>
      <c r="I233" s="22">
        <v>45</v>
      </c>
      <c r="J233" s="13">
        <f t="shared" si="28"/>
        <v>213635</v>
      </c>
      <c r="K233" s="9">
        <v>6434</v>
      </c>
      <c r="L233" s="14">
        <v>251826.76</v>
      </c>
      <c r="M233" s="14">
        <f>L233</f>
        <v>251826.76</v>
      </c>
      <c r="N233" s="14">
        <v>231923.27</v>
      </c>
      <c r="O233" s="14">
        <f t="shared" si="26"/>
        <v>19903.49000000002</v>
      </c>
      <c r="P233" s="14">
        <v>2.5</v>
      </c>
      <c r="Q233" s="21">
        <v>9632.4699999999993</v>
      </c>
      <c r="R233" s="6" t="s">
        <v>455</v>
      </c>
      <c r="S233" s="6" t="s">
        <v>366</v>
      </c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</row>
    <row r="234" spans="1:252" s="24" customFormat="1" ht="20" customHeight="1">
      <c r="A234" s="29">
        <v>224</v>
      </c>
      <c r="B234" s="1">
        <v>0.16500000000000001</v>
      </c>
      <c r="C234" s="15" t="s">
        <v>458</v>
      </c>
      <c r="D234" s="53" t="s">
        <v>456</v>
      </c>
      <c r="E234" s="16" t="s">
        <v>457</v>
      </c>
      <c r="F234" s="21" t="s">
        <v>635</v>
      </c>
      <c r="G234" s="6" t="s">
        <v>451</v>
      </c>
      <c r="H234" s="9">
        <v>4400</v>
      </c>
      <c r="I234" s="22" t="s">
        <v>215</v>
      </c>
      <c r="J234" s="13">
        <f t="shared" si="28"/>
        <v>218035</v>
      </c>
      <c r="K234" s="9">
        <v>1446</v>
      </c>
      <c r="L234" s="14">
        <v>56899.32</v>
      </c>
      <c r="M234" s="14">
        <v>56899.32</v>
      </c>
      <c r="N234" s="14">
        <v>63552.160000000003</v>
      </c>
      <c r="O234" s="14">
        <f t="shared" ref="O234:O241" si="29">M234-N234</f>
        <v>-6652.8400000000038</v>
      </c>
      <c r="P234" s="14">
        <v>16.670000000000002</v>
      </c>
      <c r="Q234" s="21">
        <v>-1109.03</v>
      </c>
      <c r="R234" s="6" t="s">
        <v>87</v>
      </c>
      <c r="S234" s="6" t="s">
        <v>26</v>
      </c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</row>
    <row r="235" spans="1:252" s="24" customFormat="1" ht="20" customHeight="1">
      <c r="A235" s="29">
        <v>225</v>
      </c>
      <c r="B235" s="1">
        <v>0.33</v>
      </c>
      <c r="C235" s="15" t="s">
        <v>460</v>
      </c>
      <c r="D235" s="53" t="s">
        <v>21</v>
      </c>
      <c r="E235" s="16">
        <v>42304</v>
      </c>
      <c r="F235" s="21" t="s">
        <v>461</v>
      </c>
      <c r="G235" s="6" t="s">
        <v>239</v>
      </c>
      <c r="H235" s="9">
        <v>925</v>
      </c>
      <c r="I235" s="22" t="s">
        <v>40</v>
      </c>
      <c r="J235" s="13">
        <f t="shared" si="28"/>
        <v>218960</v>
      </c>
      <c r="K235" s="9">
        <v>381</v>
      </c>
      <c r="L235" s="14">
        <v>8431.7099999999991</v>
      </c>
      <c r="M235" s="14">
        <f>L235+401.83</f>
        <v>8833.5399999999991</v>
      </c>
      <c r="N235" s="14">
        <v>16175.11</v>
      </c>
      <c r="O235" s="14">
        <f t="shared" si="29"/>
        <v>-7341.5700000000015</v>
      </c>
      <c r="P235" s="14">
        <v>33</v>
      </c>
      <c r="Q235" s="21">
        <v>-2380.2199999999998</v>
      </c>
      <c r="R235" s="6" t="s">
        <v>70</v>
      </c>
      <c r="S235" s="6" t="s">
        <v>366</v>
      </c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</row>
    <row r="236" spans="1:252" s="24" customFormat="1" ht="20" customHeight="1">
      <c r="A236" s="29">
        <v>226</v>
      </c>
      <c r="B236" s="1">
        <v>0.5</v>
      </c>
      <c r="C236" s="15" t="s">
        <v>31</v>
      </c>
      <c r="D236" s="53" t="s">
        <v>139</v>
      </c>
      <c r="E236" s="16">
        <v>42316</v>
      </c>
      <c r="F236" s="21" t="s">
        <v>462</v>
      </c>
      <c r="G236" s="6" t="s">
        <v>163</v>
      </c>
      <c r="H236" s="9">
        <v>120</v>
      </c>
      <c r="I236" s="22">
        <v>10</v>
      </c>
      <c r="J236" s="13">
        <f t="shared" si="28"/>
        <v>219080</v>
      </c>
      <c r="K236" s="9">
        <v>34</v>
      </c>
      <c r="L236" s="14">
        <v>295.8</v>
      </c>
      <c r="M236" s="14">
        <v>295.8</v>
      </c>
      <c r="N236" s="14">
        <v>778.96</v>
      </c>
      <c r="O236" s="14">
        <f t="shared" si="29"/>
        <v>-483.16</v>
      </c>
      <c r="P236" s="14">
        <v>50</v>
      </c>
      <c r="Q236" s="21">
        <f t="shared" ref="Q236:Q244" si="30">O236/2</f>
        <v>-241.58</v>
      </c>
      <c r="R236" s="6" t="s">
        <v>237</v>
      </c>
      <c r="S236" s="6" t="s">
        <v>366</v>
      </c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</row>
    <row r="237" spans="1:252" s="24" customFormat="1" ht="20" customHeight="1">
      <c r="A237" s="29">
        <v>227</v>
      </c>
      <c r="B237" s="1">
        <v>0.5</v>
      </c>
      <c r="C237" s="15" t="s">
        <v>31</v>
      </c>
      <c r="D237" s="53" t="s">
        <v>22</v>
      </c>
      <c r="E237" s="16">
        <v>42300</v>
      </c>
      <c r="F237" s="21" t="s">
        <v>620</v>
      </c>
      <c r="G237" s="6" t="s">
        <v>85</v>
      </c>
      <c r="H237" s="9">
        <v>300</v>
      </c>
      <c r="I237" s="22">
        <v>25</v>
      </c>
      <c r="J237" s="13">
        <f t="shared" si="28"/>
        <v>219380</v>
      </c>
      <c r="K237" s="9">
        <v>194</v>
      </c>
      <c r="L237" s="14">
        <v>4277.59</v>
      </c>
      <c r="M237" s="14">
        <v>4277.59</v>
      </c>
      <c r="N237" s="14">
        <v>4148.08</v>
      </c>
      <c r="O237" s="14">
        <f t="shared" si="29"/>
        <v>129.51000000000022</v>
      </c>
      <c r="P237" s="14">
        <v>50</v>
      </c>
      <c r="Q237" s="21">
        <f t="shared" si="30"/>
        <v>64.755000000000109</v>
      </c>
      <c r="R237" s="6" t="s">
        <v>346</v>
      </c>
      <c r="S237" s="6" t="s">
        <v>366</v>
      </c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</row>
    <row r="238" spans="1:252" s="24" customFormat="1" ht="20" customHeight="1">
      <c r="A238" s="29">
        <v>228</v>
      </c>
      <c r="B238" s="1">
        <v>0.5</v>
      </c>
      <c r="C238" s="15" t="s">
        <v>20</v>
      </c>
      <c r="D238" s="53" t="s">
        <v>23</v>
      </c>
      <c r="E238" s="16">
        <v>42296</v>
      </c>
      <c r="F238" s="21" t="s">
        <v>603</v>
      </c>
      <c r="G238" s="6" t="s">
        <v>29</v>
      </c>
      <c r="H238" s="9">
        <v>925</v>
      </c>
      <c r="I238" s="22" t="s">
        <v>37</v>
      </c>
      <c r="J238" s="13">
        <f t="shared" si="28"/>
        <v>220305</v>
      </c>
      <c r="K238" s="9">
        <v>263</v>
      </c>
      <c r="L238" s="14">
        <v>6375.93</v>
      </c>
      <c r="M238" s="14">
        <f>L238+333.33</f>
        <v>6709.26</v>
      </c>
      <c r="N238" s="14">
        <v>16197.15</v>
      </c>
      <c r="O238" s="14">
        <f t="shared" si="29"/>
        <v>-9487.89</v>
      </c>
      <c r="P238" s="14">
        <v>50</v>
      </c>
      <c r="Q238" s="21">
        <f t="shared" si="30"/>
        <v>-4743.9449999999997</v>
      </c>
      <c r="R238" s="6" t="s">
        <v>70</v>
      </c>
      <c r="S238" s="6" t="s">
        <v>26</v>
      </c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</row>
    <row r="239" spans="1:252" s="24" customFormat="1" ht="20" customHeight="1">
      <c r="A239" s="29">
        <v>229</v>
      </c>
      <c r="B239" s="1">
        <v>0.5</v>
      </c>
      <c r="C239" s="15" t="s">
        <v>20</v>
      </c>
      <c r="D239" s="53" t="s">
        <v>23</v>
      </c>
      <c r="E239" s="16">
        <v>42261</v>
      </c>
      <c r="F239" s="21" t="s">
        <v>506</v>
      </c>
      <c r="G239" s="6" t="s">
        <v>24</v>
      </c>
      <c r="H239" s="9">
        <v>2200</v>
      </c>
      <c r="I239" s="22" t="s">
        <v>466</v>
      </c>
      <c r="J239" s="13">
        <f t="shared" si="28"/>
        <v>222505</v>
      </c>
      <c r="K239" s="9">
        <v>1704</v>
      </c>
      <c r="L239" s="14">
        <v>53783.76</v>
      </c>
      <c r="M239" s="14">
        <f>L239+2185.31</f>
        <v>55969.07</v>
      </c>
      <c r="N239" s="14">
        <v>55431.19</v>
      </c>
      <c r="O239" s="14">
        <f t="shared" si="29"/>
        <v>537.87999999999738</v>
      </c>
      <c r="P239" s="14">
        <v>50</v>
      </c>
      <c r="Q239" s="21">
        <f t="shared" si="30"/>
        <v>268.93999999999869</v>
      </c>
      <c r="R239" s="6" t="s">
        <v>347</v>
      </c>
      <c r="S239" s="6" t="s">
        <v>283</v>
      </c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</row>
    <row r="240" spans="1:252" s="24" customFormat="1" ht="20" customHeight="1">
      <c r="A240" s="29">
        <v>230</v>
      </c>
      <c r="B240" s="1">
        <v>0.5</v>
      </c>
      <c r="C240" s="15" t="s">
        <v>20</v>
      </c>
      <c r="D240" s="53" t="s">
        <v>32</v>
      </c>
      <c r="E240" s="16">
        <v>42301</v>
      </c>
      <c r="F240" s="21" t="s">
        <v>615</v>
      </c>
      <c r="G240" s="6" t="s">
        <v>274</v>
      </c>
      <c r="H240" s="9">
        <v>400</v>
      </c>
      <c r="I240" s="22" t="s">
        <v>38</v>
      </c>
      <c r="J240" s="13">
        <f t="shared" si="28"/>
        <v>222905</v>
      </c>
      <c r="K240" s="9">
        <v>229</v>
      </c>
      <c r="L240" s="14">
        <v>3627.66</v>
      </c>
      <c r="M240" s="14">
        <v>3627.66</v>
      </c>
      <c r="N240" s="14">
        <v>4399.33</v>
      </c>
      <c r="O240" s="14">
        <f t="shared" si="29"/>
        <v>-771.67000000000007</v>
      </c>
      <c r="P240" s="14">
        <v>50</v>
      </c>
      <c r="Q240" s="21">
        <f t="shared" si="30"/>
        <v>-385.83500000000004</v>
      </c>
      <c r="R240" s="6" t="s">
        <v>467</v>
      </c>
      <c r="S240" s="6" t="s">
        <v>366</v>
      </c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</row>
    <row r="241" spans="1:252" s="24" customFormat="1" ht="20" customHeight="1">
      <c r="A241" s="29">
        <v>231</v>
      </c>
      <c r="B241" s="1">
        <v>0.5</v>
      </c>
      <c r="C241" s="15" t="s">
        <v>31</v>
      </c>
      <c r="D241" s="53" t="s">
        <v>22</v>
      </c>
      <c r="E241" s="16">
        <v>42342</v>
      </c>
      <c r="F241" s="21" t="s">
        <v>84</v>
      </c>
      <c r="G241" s="6" t="s">
        <v>85</v>
      </c>
      <c r="H241" s="9">
        <v>300</v>
      </c>
      <c r="I241" s="22" t="s">
        <v>86</v>
      </c>
      <c r="J241" s="13">
        <f t="shared" si="28"/>
        <v>223205</v>
      </c>
      <c r="K241" s="9">
        <v>259</v>
      </c>
      <c r="L241" s="14">
        <v>3122.7</v>
      </c>
      <c r="M241" s="14">
        <v>3122.7</v>
      </c>
      <c r="N241" s="14">
        <v>2644.29</v>
      </c>
      <c r="O241" s="14">
        <f t="shared" si="29"/>
        <v>478.40999999999985</v>
      </c>
      <c r="P241" s="14">
        <v>50</v>
      </c>
      <c r="Q241" s="21">
        <f t="shared" si="30"/>
        <v>239.20499999999993</v>
      </c>
      <c r="R241" s="6" t="s">
        <v>87</v>
      </c>
      <c r="S241" s="6" t="s">
        <v>366</v>
      </c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</row>
    <row r="242" spans="1:252" s="24" customFormat="1" ht="20" customHeight="1">
      <c r="A242" s="29">
        <v>232</v>
      </c>
      <c r="B242" s="1">
        <v>0.5</v>
      </c>
      <c r="C242" s="15" t="s">
        <v>20</v>
      </c>
      <c r="D242" s="53" t="s">
        <v>75</v>
      </c>
      <c r="E242" s="16">
        <v>42298</v>
      </c>
      <c r="F242" s="21" t="s">
        <v>500</v>
      </c>
      <c r="G242" s="6" t="s">
        <v>67</v>
      </c>
      <c r="H242" s="9">
        <v>2200</v>
      </c>
      <c r="I242" s="22" t="s">
        <v>468</v>
      </c>
      <c r="J242" s="13">
        <f t="shared" si="28"/>
        <v>225405</v>
      </c>
      <c r="K242" s="9">
        <v>1803</v>
      </c>
      <c r="L242" s="14">
        <v>60490.37</v>
      </c>
      <c r="M242" s="14">
        <f>L242+3060.92</f>
        <v>63551.29</v>
      </c>
      <c r="N242" s="14">
        <v>63806.35</v>
      </c>
      <c r="O242" s="14">
        <f>M242-N242</f>
        <v>-255.05999999999767</v>
      </c>
      <c r="P242" s="14">
        <v>50</v>
      </c>
      <c r="Q242" s="21">
        <f t="shared" si="30"/>
        <v>-127.52999999999884</v>
      </c>
      <c r="R242" s="6" t="s">
        <v>170</v>
      </c>
      <c r="S242" s="6" t="s">
        <v>26</v>
      </c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</row>
    <row r="243" spans="1:252" s="24" customFormat="1" ht="20" customHeight="1">
      <c r="A243" s="29">
        <v>233</v>
      </c>
      <c r="B243" s="1">
        <v>0.5</v>
      </c>
      <c r="C243" s="15" t="s">
        <v>31</v>
      </c>
      <c r="D243" s="53" t="s">
        <v>23</v>
      </c>
      <c r="E243" s="16">
        <v>42303</v>
      </c>
      <c r="F243" s="21" t="s">
        <v>527</v>
      </c>
      <c r="G243" s="6" t="s">
        <v>85</v>
      </c>
      <c r="H243" s="9">
        <v>300</v>
      </c>
      <c r="I243" s="22" t="s">
        <v>200</v>
      </c>
      <c r="J243" s="13">
        <f t="shared" si="28"/>
        <v>225705</v>
      </c>
      <c r="K243" s="9">
        <v>182</v>
      </c>
      <c r="L243" s="14">
        <v>2445.5700000000002</v>
      </c>
      <c r="M243" s="14">
        <v>2445.5700000000002</v>
      </c>
      <c r="N243" s="14">
        <v>2961.89</v>
      </c>
      <c r="O243" s="14">
        <f>M243-N243</f>
        <v>-516.31999999999971</v>
      </c>
      <c r="P243" s="14">
        <v>50</v>
      </c>
      <c r="Q243" s="21">
        <f t="shared" si="30"/>
        <v>-258.15999999999985</v>
      </c>
      <c r="R243" s="6" t="s">
        <v>346</v>
      </c>
      <c r="S243" s="6" t="s">
        <v>366</v>
      </c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</row>
    <row r="244" spans="1:252" s="24" customFormat="1" ht="20" customHeight="1">
      <c r="A244" s="29">
        <v>234</v>
      </c>
      <c r="B244" s="55">
        <f>33.33%/2</f>
        <v>0.16664999999999999</v>
      </c>
      <c r="C244" s="15" t="s">
        <v>470</v>
      </c>
      <c r="D244" s="30">
        <f>E244</f>
        <v>42266</v>
      </c>
      <c r="E244" s="16">
        <v>42266</v>
      </c>
      <c r="F244" s="21" t="s">
        <v>471</v>
      </c>
      <c r="G244" s="6" t="s">
        <v>472</v>
      </c>
      <c r="H244" s="9">
        <v>450</v>
      </c>
      <c r="I244" s="22" t="s">
        <v>473</v>
      </c>
      <c r="J244" s="13">
        <f t="shared" si="28"/>
        <v>226155</v>
      </c>
      <c r="K244" s="9">
        <f>429+71</f>
        <v>500</v>
      </c>
      <c r="L244" s="14">
        <v>7205.04</v>
      </c>
      <c r="M244" s="14">
        <v>7205.04</v>
      </c>
      <c r="N244" s="14">
        <v>6434.68</v>
      </c>
      <c r="O244" s="14">
        <f>M244-N244</f>
        <v>770.35999999999967</v>
      </c>
      <c r="P244" s="61">
        <f>0.3333333/2</f>
        <v>0.16666665</v>
      </c>
      <c r="Q244" s="21">
        <f>P244*O244</f>
        <v>128.39332049399994</v>
      </c>
      <c r="R244" s="6" t="s">
        <v>130</v>
      </c>
      <c r="S244" s="6" t="s">
        <v>474</v>
      </c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</row>
    <row r="245" spans="1:252" s="24" customFormat="1" ht="20" customHeight="1">
      <c r="A245" s="29">
        <v>235</v>
      </c>
      <c r="B245" s="1">
        <v>0.5</v>
      </c>
      <c r="C245" s="15" t="s">
        <v>31</v>
      </c>
      <c r="D245" s="53" t="s">
        <v>21</v>
      </c>
      <c r="E245" s="16">
        <v>42297</v>
      </c>
      <c r="F245" s="21" t="s">
        <v>475</v>
      </c>
      <c r="G245" s="6" t="s">
        <v>85</v>
      </c>
      <c r="H245" s="9">
        <v>300</v>
      </c>
      <c r="I245" s="22" t="s">
        <v>53</v>
      </c>
      <c r="J245" s="13">
        <f t="shared" si="28"/>
        <v>226455</v>
      </c>
      <c r="K245" s="9">
        <v>295</v>
      </c>
      <c r="L245" s="14">
        <v>5643.35</v>
      </c>
      <c r="M245" s="14">
        <v>5643.35</v>
      </c>
      <c r="N245" s="14">
        <v>5230.17</v>
      </c>
      <c r="O245" s="14">
        <f t="shared" ref="O245:O252" si="31">M245-N245</f>
        <v>413.18000000000029</v>
      </c>
      <c r="P245" s="14">
        <v>50</v>
      </c>
      <c r="Q245" s="21">
        <f t="shared" ref="Q245:Q250" si="32">O245/2</f>
        <v>206.59000000000015</v>
      </c>
      <c r="R245" s="6" t="s">
        <v>122</v>
      </c>
      <c r="S245" s="6" t="s">
        <v>366</v>
      </c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</row>
    <row r="246" spans="1:252" s="24" customFormat="1" ht="20" customHeight="1">
      <c r="A246" s="29">
        <v>236</v>
      </c>
      <c r="B246" s="1">
        <v>0.5</v>
      </c>
      <c r="C246" s="15" t="s">
        <v>31</v>
      </c>
      <c r="D246" s="53" t="s">
        <v>21</v>
      </c>
      <c r="E246" s="16">
        <v>42290</v>
      </c>
      <c r="F246" s="21" t="s">
        <v>605</v>
      </c>
      <c r="G246" s="6" t="s">
        <v>142</v>
      </c>
      <c r="H246" s="9">
        <v>400</v>
      </c>
      <c r="I246" s="22" t="s">
        <v>102</v>
      </c>
      <c r="J246" s="13">
        <f t="shared" si="28"/>
        <v>226855</v>
      </c>
      <c r="K246" s="9">
        <v>131</v>
      </c>
      <c r="L246" s="14">
        <v>2521.69</v>
      </c>
      <c r="M246" s="14">
        <v>2521.69</v>
      </c>
      <c r="N246" s="14">
        <v>5557.74</v>
      </c>
      <c r="O246" s="14">
        <f t="shared" si="31"/>
        <v>-3036.0499999999997</v>
      </c>
      <c r="P246" s="14">
        <v>50</v>
      </c>
      <c r="Q246" s="21">
        <f t="shared" si="32"/>
        <v>-1518.0249999999999</v>
      </c>
      <c r="R246" s="6" t="s">
        <v>122</v>
      </c>
      <c r="S246" s="6" t="s">
        <v>26</v>
      </c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  <c r="IR246" s="21"/>
    </row>
    <row r="247" spans="1:252" s="24" customFormat="1" ht="20" customHeight="1">
      <c r="A247" s="29">
        <v>237</v>
      </c>
      <c r="B247" s="1">
        <v>0.5</v>
      </c>
      <c r="C247" s="15" t="s">
        <v>20</v>
      </c>
      <c r="D247" s="53" t="s">
        <v>21</v>
      </c>
      <c r="E247" s="16">
        <v>42283</v>
      </c>
      <c r="F247" s="21" t="s">
        <v>476</v>
      </c>
      <c r="G247" s="6" t="s">
        <v>24</v>
      </c>
      <c r="H247" s="9">
        <v>2200</v>
      </c>
      <c r="I247" s="22" t="s">
        <v>133</v>
      </c>
      <c r="J247" s="13">
        <f t="shared" si="28"/>
        <v>229055</v>
      </c>
      <c r="K247" s="9">
        <v>1719</v>
      </c>
      <c r="L247" s="14">
        <v>45414.21</v>
      </c>
      <c r="M247" s="14">
        <f>L247+2182.72</f>
        <v>47596.93</v>
      </c>
      <c r="N247" s="14">
        <v>39823.25</v>
      </c>
      <c r="O247" s="14">
        <f t="shared" si="31"/>
        <v>7773.68</v>
      </c>
      <c r="P247" s="14">
        <v>50</v>
      </c>
      <c r="Q247" s="21">
        <f t="shared" si="32"/>
        <v>3886.84</v>
      </c>
      <c r="R247" s="6" t="s">
        <v>233</v>
      </c>
      <c r="S247" s="6" t="s">
        <v>55</v>
      </c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</row>
    <row r="248" spans="1:252" s="24" customFormat="1" ht="20" customHeight="1">
      <c r="A248" s="29">
        <v>238</v>
      </c>
      <c r="B248" s="1">
        <v>0.5</v>
      </c>
      <c r="C248" s="15" t="s">
        <v>31</v>
      </c>
      <c r="D248" s="53" t="s">
        <v>139</v>
      </c>
      <c r="E248" s="16">
        <v>42344</v>
      </c>
      <c r="F248" s="21" t="s">
        <v>490</v>
      </c>
      <c r="G248" s="6" t="s">
        <v>186</v>
      </c>
      <c r="H248" s="9">
        <v>520</v>
      </c>
      <c r="I248" s="22" t="s">
        <v>478</v>
      </c>
      <c r="J248" s="13">
        <f t="shared" si="28"/>
        <v>229575</v>
      </c>
      <c r="K248" s="9">
        <v>266</v>
      </c>
      <c r="L248" s="14">
        <v>5724.93</v>
      </c>
      <c r="M248" s="14">
        <v>5724.93</v>
      </c>
      <c r="N248" s="14">
        <v>9130.57</v>
      </c>
      <c r="O248" s="14">
        <f t="shared" si="31"/>
        <v>-3405.6399999999994</v>
      </c>
      <c r="P248" s="14">
        <v>50</v>
      </c>
      <c r="Q248" s="21">
        <f t="shared" si="32"/>
        <v>-1702.8199999999997</v>
      </c>
      <c r="R248" s="6" t="s">
        <v>122</v>
      </c>
      <c r="S248" s="6" t="s">
        <v>55</v>
      </c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</row>
    <row r="249" spans="1:252" s="24" customFormat="1" ht="20" customHeight="1">
      <c r="A249" s="29">
        <v>239</v>
      </c>
      <c r="B249" s="1">
        <v>0.5</v>
      </c>
      <c r="C249" s="15" t="s">
        <v>31</v>
      </c>
      <c r="D249" s="53" t="s">
        <v>21</v>
      </c>
      <c r="E249" s="16">
        <v>42318</v>
      </c>
      <c r="F249" s="21" t="s">
        <v>479</v>
      </c>
      <c r="G249" s="6" t="s">
        <v>56</v>
      </c>
      <c r="H249" s="9">
        <v>300</v>
      </c>
      <c r="I249" s="22" t="s">
        <v>229</v>
      </c>
      <c r="J249" s="13">
        <f t="shared" si="28"/>
        <v>229875</v>
      </c>
      <c r="K249" s="9">
        <v>97</v>
      </c>
      <c r="L249" s="14">
        <v>1238.55</v>
      </c>
      <c r="M249" s="14">
        <v>1238.55</v>
      </c>
      <c r="N249" s="14">
        <v>2868.17</v>
      </c>
      <c r="O249" s="14">
        <f t="shared" si="31"/>
        <v>-1629.6200000000001</v>
      </c>
      <c r="P249" s="14">
        <v>50</v>
      </c>
      <c r="Q249" s="21">
        <f t="shared" si="32"/>
        <v>-814.81000000000006</v>
      </c>
      <c r="R249" s="6" t="s">
        <v>130</v>
      </c>
      <c r="S249" s="6" t="s">
        <v>55</v>
      </c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</row>
    <row r="250" spans="1:252" s="24" customFormat="1" ht="20" customHeight="1">
      <c r="A250" s="29">
        <v>240</v>
      </c>
      <c r="B250" s="1">
        <v>0.5</v>
      </c>
      <c r="C250" s="15" t="s">
        <v>31</v>
      </c>
      <c r="D250" s="53" t="s">
        <v>75</v>
      </c>
      <c r="E250" s="16">
        <v>42312</v>
      </c>
      <c r="F250" s="21" t="s">
        <v>621</v>
      </c>
      <c r="G250" s="6" t="s">
        <v>33</v>
      </c>
      <c r="H250" s="9">
        <v>150</v>
      </c>
      <c r="I250" s="22">
        <v>15</v>
      </c>
      <c r="J250" s="13">
        <f t="shared" si="28"/>
        <v>230025</v>
      </c>
      <c r="K250" s="9">
        <v>36</v>
      </c>
      <c r="L250" s="14">
        <v>469.8</v>
      </c>
      <c r="M250" s="14">
        <v>469.8</v>
      </c>
      <c r="N250" s="14">
        <v>1548.18</v>
      </c>
      <c r="O250" s="14">
        <f t="shared" si="31"/>
        <v>-1078.3800000000001</v>
      </c>
      <c r="P250" s="14">
        <v>50</v>
      </c>
      <c r="Q250" s="21">
        <f t="shared" si="32"/>
        <v>-539.19000000000005</v>
      </c>
      <c r="R250" s="6" t="s">
        <v>39</v>
      </c>
      <c r="S250" s="6" t="s">
        <v>55</v>
      </c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</row>
    <row r="251" spans="1:252" s="24" customFormat="1" ht="20" customHeight="1">
      <c r="A251" s="29">
        <v>241</v>
      </c>
      <c r="B251" s="1">
        <v>0.45</v>
      </c>
      <c r="C251" s="15" t="s">
        <v>20</v>
      </c>
      <c r="D251" s="53" t="s">
        <v>21</v>
      </c>
      <c r="E251" s="16">
        <v>42297</v>
      </c>
      <c r="F251" s="21" t="s">
        <v>598</v>
      </c>
      <c r="G251" s="6" t="s">
        <v>29</v>
      </c>
      <c r="H251" s="9">
        <v>925</v>
      </c>
      <c r="I251" s="22" t="s">
        <v>102</v>
      </c>
      <c r="J251" s="13">
        <f t="shared" si="28"/>
        <v>230950</v>
      </c>
      <c r="K251" s="9">
        <v>361</v>
      </c>
      <c r="L251" s="14">
        <v>6473.54</v>
      </c>
      <c r="M251" s="14">
        <f>L251+394.22</f>
        <v>6867.76</v>
      </c>
      <c r="N251" s="14">
        <v>8437.26</v>
      </c>
      <c r="O251" s="14">
        <f t="shared" si="31"/>
        <v>-1569.5</v>
      </c>
      <c r="P251" s="14">
        <v>45</v>
      </c>
      <c r="Q251" s="21">
        <v>-686.56</v>
      </c>
      <c r="R251" s="6" t="s">
        <v>371</v>
      </c>
      <c r="S251" s="6" t="s">
        <v>26</v>
      </c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</row>
    <row r="252" spans="1:252" s="24" customFormat="1" ht="20" customHeight="1">
      <c r="A252" s="29">
        <v>242</v>
      </c>
      <c r="B252" s="1">
        <f>1/3</f>
        <v>0.33333333333333331</v>
      </c>
      <c r="C252" s="15" t="s">
        <v>460</v>
      </c>
      <c r="D252" s="30">
        <f>E252</f>
        <v>42283</v>
      </c>
      <c r="E252" s="16">
        <v>42283</v>
      </c>
      <c r="F252" s="21" t="s">
        <v>649</v>
      </c>
      <c r="G252" s="6" t="s">
        <v>29</v>
      </c>
      <c r="H252" s="9">
        <v>925</v>
      </c>
      <c r="I252" s="22" t="s">
        <v>483</v>
      </c>
      <c r="J252" s="13">
        <f t="shared" si="28"/>
        <v>231875</v>
      </c>
      <c r="K252" s="9">
        <v>753</v>
      </c>
      <c r="L252" s="14">
        <v>17409.52</v>
      </c>
      <c r="M252" s="14">
        <f>L252</f>
        <v>17409.52</v>
      </c>
      <c r="N252" s="14">
        <v>15465.58</v>
      </c>
      <c r="O252" s="14">
        <f t="shared" si="31"/>
        <v>1943.9400000000005</v>
      </c>
      <c r="P252" s="14">
        <v>25</v>
      </c>
      <c r="Q252" s="21">
        <v>457.38</v>
      </c>
      <c r="R252" s="6"/>
      <c r="S252" s="6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</row>
    <row r="253" spans="1:252" s="24" customFormat="1" ht="20" customHeight="1">
      <c r="A253" s="29">
        <v>243</v>
      </c>
      <c r="B253" s="1">
        <v>0.5</v>
      </c>
      <c r="C253" s="15" t="s">
        <v>31</v>
      </c>
      <c r="D253" s="30" t="s">
        <v>484</v>
      </c>
      <c r="E253" s="16">
        <v>42305</v>
      </c>
      <c r="F253" s="21" t="s">
        <v>595</v>
      </c>
      <c r="G253" s="6" t="s">
        <v>33</v>
      </c>
      <c r="H253" s="9">
        <v>150</v>
      </c>
      <c r="I253" s="22">
        <v>10</v>
      </c>
      <c r="J253" s="13">
        <f t="shared" ref="J253:J260" si="33">J252+H253</f>
        <v>232025</v>
      </c>
      <c r="K253" s="9">
        <v>133</v>
      </c>
      <c r="L253" s="14">
        <v>1157.0999999999999</v>
      </c>
      <c r="M253" s="14">
        <v>1157.0999999999999</v>
      </c>
      <c r="N253" s="14">
        <v>1225.8599999999999</v>
      </c>
      <c r="O253" s="14">
        <f t="shared" ref="O253:O260" si="34">M253-N253</f>
        <v>-68.759999999999991</v>
      </c>
      <c r="P253" s="14">
        <v>50</v>
      </c>
      <c r="Q253" s="21">
        <f>O253/2</f>
        <v>-34.379999999999995</v>
      </c>
      <c r="R253" s="6" t="s">
        <v>237</v>
      </c>
      <c r="S253" s="6" t="s">
        <v>485</v>
      </c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</row>
    <row r="254" spans="1:252" s="24" customFormat="1" ht="20" customHeight="1">
      <c r="A254" s="29">
        <v>244</v>
      </c>
      <c r="B254" s="1">
        <v>0.5</v>
      </c>
      <c r="C254" s="15" t="s">
        <v>20</v>
      </c>
      <c r="D254" s="30" t="s">
        <v>486</v>
      </c>
      <c r="E254" s="16">
        <v>42310</v>
      </c>
      <c r="F254" s="21" t="s">
        <v>542</v>
      </c>
      <c r="G254" s="6" t="s">
        <v>24</v>
      </c>
      <c r="H254" s="9">
        <v>2200</v>
      </c>
      <c r="I254" s="22" t="s">
        <v>102</v>
      </c>
      <c r="J254" s="13">
        <f t="shared" si="33"/>
        <v>234225</v>
      </c>
      <c r="K254" s="9">
        <v>2297</v>
      </c>
      <c r="L254" s="14">
        <v>39968.47</v>
      </c>
      <c r="M254" s="14">
        <f>L254+1959.2</f>
        <v>41927.67</v>
      </c>
      <c r="N254" s="14">
        <v>33127.65</v>
      </c>
      <c r="O254" s="14">
        <f t="shared" si="34"/>
        <v>8800.0199999999968</v>
      </c>
      <c r="P254" s="14">
        <v>50</v>
      </c>
      <c r="Q254" s="21">
        <f>O254/2</f>
        <v>4400.0099999999984</v>
      </c>
      <c r="R254" s="6" t="s">
        <v>70</v>
      </c>
      <c r="S254" s="6" t="s">
        <v>26</v>
      </c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</row>
    <row r="255" spans="1:252" s="24" customFormat="1" ht="20" customHeight="1">
      <c r="A255" s="29">
        <v>245</v>
      </c>
      <c r="B255" s="1">
        <v>0.5</v>
      </c>
      <c r="C255" s="15" t="s">
        <v>31</v>
      </c>
      <c r="D255" s="53" t="s">
        <v>484</v>
      </c>
      <c r="E255" s="16">
        <v>42277</v>
      </c>
      <c r="F255" s="21" t="s">
        <v>546</v>
      </c>
      <c r="G255" s="6" t="s">
        <v>56</v>
      </c>
      <c r="H255" s="9">
        <v>180</v>
      </c>
      <c r="I255" s="22" t="s">
        <v>320</v>
      </c>
      <c r="J255" s="13">
        <f t="shared" si="33"/>
        <v>234405</v>
      </c>
      <c r="K255" s="9">
        <v>87</v>
      </c>
      <c r="L255" s="14">
        <v>1650.88</v>
      </c>
      <c r="M255" s="14">
        <v>1650.88</v>
      </c>
      <c r="N255" s="14">
        <v>2184.94</v>
      </c>
      <c r="O255" s="14">
        <f t="shared" si="34"/>
        <v>-534.05999999999995</v>
      </c>
      <c r="P255" s="14">
        <v>50</v>
      </c>
      <c r="Q255" s="21">
        <f>O255/2</f>
        <v>-267.02999999999997</v>
      </c>
      <c r="R255" s="6" t="s">
        <v>487</v>
      </c>
      <c r="S255" s="6" t="s">
        <v>485</v>
      </c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</row>
    <row r="256" spans="1:252" s="24" customFormat="1" ht="20" customHeight="1">
      <c r="A256" s="29">
        <v>246</v>
      </c>
      <c r="B256" s="1">
        <v>0.5</v>
      </c>
      <c r="C256" s="15" t="s">
        <v>188</v>
      </c>
      <c r="D256" s="53" t="s">
        <v>488</v>
      </c>
      <c r="E256" s="16">
        <v>42337</v>
      </c>
      <c r="F256" s="21" t="s">
        <v>522</v>
      </c>
      <c r="G256" s="6" t="s">
        <v>67</v>
      </c>
      <c r="H256" s="9">
        <v>2200</v>
      </c>
      <c r="I256" s="22" t="s">
        <v>81</v>
      </c>
      <c r="J256" s="13">
        <f t="shared" si="33"/>
        <v>236605</v>
      </c>
      <c r="K256" s="9">
        <v>2192</v>
      </c>
      <c r="L256" s="14">
        <v>42897.440000000002</v>
      </c>
      <c r="M256" s="14">
        <f>L256</f>
        <v>42897.440000000002</v>
      </c>
      <c r="N256" s="14">
        <v>36665.57</v>
      </c>
      <c r="O256" s="14">
        <f t="shared" si="34"/>
        <v>6231.8700000000026</v>
      </c>
      <c r="P256" s="14">
        <v>50</v>
      </c>
      <c r="Q256" s="21">
        <v>4935.28</v>
      </c>
      <c r="R256" s="6" t="s">
        <v>487</v>
      </c>
      <c r="S256" s="6" t="s">
        <v>26</v>
      </c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</row>
    <row r="257" spans="1:252" s="24" customFormat="1" ht="20" customHeight="1">
      <c r="A257" s="29">
        <v>247</v>
      </c>
      <c r="B257" s="1">
        <v>0.33</v>
      </c>
      <c r="C257" s="15" t="s">
        <v>199</v>
      </c>
      <c r="D257" s="53" t="s">
        <v>23</v>
      </c>
      <c r="E257" s="16">
        <v>42324</v>
      </c>
      <c r="F257" s="21" t="s">
        <v>491</v>
      </c>
      <c r="G257" s="6" t="s">
        <v>110</v>
      </c>
      <c r="H257" s="9">
        <v>300</v>
      </c>
      <c r="I257" s="22">
        <v>20</v>
      </c>
      <c r="J257" s="13">
        <f t="shared" si="33"/>
        <v>236905</v>
      </c>
      <c r="K257" s="9">
        <v>256</v>
      </c>
      <c r="L257" s="14">
        <v>4451.84</v>
      </c>
      <c r="M257" s="14">
        <v>4451.84</v>
      </c>
      <c r="N257" s="14">
        <v>4446.8100000000004</v>
      </c>
      <c r="O257" s="14">
        <f t="shared" si="34"/>
        <v>5.0299999999997453</v>
      </c>
      <c r="P257" s="14">
        <v>50</v>
      </c>
      <c r="Q257" s="21">
        <f>O257/3</f>
        <v>1.6766666666665817</v>
      </c>
      <c r="R257" s="6" t="s">
        <v>41</v>
      </c>
      <c r="S257" s="6" t="s">
        <v>80</v>
      </c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</row>
    <row r="258" spans="1:252" s="24" customFormat="1" ht="20" customHeight="1">
      <c r="A258" s="29">
        <v>248</v>
      </c>
      <c r="B258" s="1">
        <v>0.5</v>
      </c>
      <c r="C258" s="15" t="s">
        <v>31</v>
      </c>
      <c r="D258" s="53" t="s">
        <v>27</v>
      </c>
      <c r="E258" s="16">
        <v>42306</v>
      </c>
      <c r="F258" s="21" t="s">
        <v>492</v>
      </c>
      <c r="G258" s="6" t="s">
        <v>56</v>
      </c>
      <c r="H258" s="9">
        <v>300</v>
      </c>
      <c r="I258" s="22">
        <v>20</v>
      </c>
      <c r="J258" s="13">
        <f t="shared" si="33"/>
        <v>237205</v>
      </c>
      <c r="K258" s="9">
        <v>125</v>
      </c>
      <c r="L258" s="14">
        <v>2173.75</v>
      </c>
      <c r="M258" s="14">
        <v>2173.75</v>
      </c>
      <c r="N258" s="14">
        <v>4165.47</v>
      </c>
      <c r="O258" s="14">
        <f t="shared" si="34"/>
        <v>-1991.7200000000003</v>
      </c>
      <c r="P258" s="14">
        <v>50</v>
      </c>
      <c r="Q258" s="21">
        <f>O258/2</f>
        <v>-995.86000000000013</v>
      </c>
      <c r="R258" s="6" t="s">
        <v>347</v>
      </c>
      <c r="S258" s="6" t="s">
        <v>485</v>
      </c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</row>
    <row r="259" spans="1:252" s="24" customFormat="1" ht="20" customHeight="1">
      <c r="A259" s="29">
        <v>249</v>
      </c>
      <c r="B259" s="1">
        <v>0.5</v>
      </c>
      <c r="C259" s="15" t="s">
        <v>31</v>
      </c>
      <c r="D259" s="53" t="s">
        <v>27</v>
      </c>
      <c r="E259" s="16">
        <v>42278</v>
      </c>
      <c r="F259" s="21" t="s">
        <v>597</v>
      </c>
      <c r="G259" s="6" t="s">
        <v>183</v>
      </c>
      <c r="H259" s="9">
        <v>550</v>
      </c>
      <c r="I259" s="22" t="s">
        <v>102</v>
      </c>
      <c r="J259" s="13">
        <f t="shared" si="33"/>
        <v>237755</v>
      </c>
      <c r="K259" s="9">
        <v>219</v>
      </c>
      <c r="L259" s="14">
        <v>4069.41</v>
      </c>
      <c r="M259" s="14">
        <v>4069.41</v>
      </c>
      <c r="N259" s="14">
        <v>3791.09</v>
      </c>
      <c r="O259" s="14">
        <f t="shared" si="34"/>
        <v>278.31999999999971</v>
      </c>
      <c r="P259" s="14">
        <v>50</v>
      </c>
      <c r="Q259" s="21">
        <f>O259/2</f>
        <v>139.15999999999985</v>
      </c>
      <c r="R259" s="6" t="s">
        <v>494</v>
      </c>
      <c r="S259" s="6" t="s">
        <v>485</v>
      </c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</row>
    <row r="260" spans="1:252" s="24" customFormat="1" ht="20" customHeight="1">
      <c r="A260" s="29">
        <v>250</v>
      </c>
      <c r="B260" s="1">
        <v>0.25</v>
      </c>
      <c r="C260" s="15" t="s">
        <v>495</v>
      </c>
      <c r="D260" s="53" t="s">
        <v>27</v>
      </c>
      <c r="E260" s="16">
        <v>42264</v>
      </c>
      <c r="F260" s="21" t="s">
        <v>582</v>
      </c>
      <c r="G260" s="6" t="s">
        <v>412</v>
      </c>
      <c r="H260" s="9">
        <v>1100</v>
      </c>
      <c r="I260" s="22" t="s">
        <v>256</v>
      </c>
      <c r="J260" s="13">
        <f t="shared" si="33"/>
        <v>238855</v>
      </c>
      <c r="K260" s="9">
        <v>1100</v>
      </c>
      <c r="L260" s="14">
        <v>25839</v>
      </c>
      <c r="M260" s="14">
        <v>25839</v>
      </c>
      <c r="N260" s="14">
        <v>22425.06</v>
      </c>
      <c r="O260" s="14">
        <f t="shared" si="34"/>
        <v>3413.9399999999987</v>
      </c>
      <c r="P260" s="14">
        <v>25</v>
      </c>
      <c r="Q260" s="21">
        <f>O260/4</f>
        <v>853.48499999999967</v>
      </c>
      <c r="R260" s="6" t="s">
        <v>496</v>
      </c>
      <c r="S260" s="6" t="s">
        <v>83</v>
      </c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</row>
    <row r="261" spans="1:252" s="24" customFormat="1" ht="20" customHeight="1">
      <c r="A261" s="29">
        <v>251</v>
      </c>
      <c r="B261" s="1">
        <v>0.5</v>
      </c>
      <c r="C261" s="15" t="s">
        <v>31</v>
      </c>
      <c r="D261" s="53" t="s">
        <v>23</v>
      </c>
      <c r="E261" s="16">
        <v>42324</v>
      </c>
      <c r="F261" s="21" t="s">
        <v>579</v>
      </c>
      <c r="G261" s="6" t="s">
        <v>472</v>
      </c>
      <c r="H261" s="9">
        <v>500</v>
      </c>
      <c r="I261" s="22" t="s">
        <v>133</v>
      </c>
      <c r="J261" s="13">
        <f t="shared" ref="J261:J270" si="35">J260+H261</f>
        <v>239355</v>
      </c>
      <c r="K261" s="9">
        <v>509</v>
      </c>
      <c r="L261" s="14">
        <v>13302.26</v>
      </c>
      <c r="M261" s="14">
        <v>13302.26</v>
      </c>
      <c r="N261" s="14">
        <v>11492.89</v>
      </c>
      <c r="O261" s="14">
        <v>1736.75</v>
      </c>
      <c r="P261" s="14">
        <v>50</v>
      </c>
      <c r="Q261" s="21">
        <f t="shared" ref="Q261:Q271" si="36">O261/2</f>
        <v>868.375</v>
      </c>
      <c r="R261" s="6" t="s">
        <v>70</v>
      </c>
      <c r="S261" s="6" t="s">
        <v>25</v>
      </c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</row>
    <row r="262" spans="1:252" s="24" customFormat="1" ht="20" customHeight="1">
      <c r="A262" s="29">
        <v>252</v>
      </c>
      <c r="B262" s="1">
        <v>0.5</v>
      </c>
      <c r="C262" s="15" t="s">
        <v>20</v>
      </c>
      <c r="D262" s="53" t="s">
        <v>22</v>
      </c>
      <c r="E262" s="16">
        <v>42286</v>
      </c>
      <c r="F262" s="21" t="s">
        <v>557</v>
      </c>
      <c r="G262" s="6" t="s">
        <v>29</v>
      </c>
      <c r="H262" s="9">
        <v>925</v>
      </c>
      <c r="I262" s="22" t="s">
        <v>37</v>
      </c>
      <c r="J262" s="13">
        <f t="shared" si="35"/>
        <v>240280</v>
      </c>
      <c r="K262" s="9">
        <v>274</v>
      </c>
      <c r="L262" s="14">
        <v>6385.08</v>
      </c>
      <c r="M262" s="14">
        <f>L262+339.42</f>
        <v>6724.5</v>
      </c>
      <c r="N262" s="14">
        <v>17063.5</v>
      </c>
      <c r="O262" s="14">
        <f t="shared" ref="O262:O270" si="37">M262-N262</f>
        <v>-10339</v>
      </c>
      <c r="P262" s="14">
        <v>50</v>
      </c>
      <c r="Q262" s="21">
        <f t="shared" si="36"/>
        <v>-5169.5</v>
      </c>
      <c r="R262" s="6" t="s">
        <v>170</v>
      </c>
      <c r="S262" s="6" t="s">
        <v>26</v>
      </c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</row>
    <row r="263" spans="1:252" s="24" customFormat="1" ht="20" customHeight="1">
      <c r="A263" s="29">
        <v>253</v>
      </c>
      <c r="B263" s="1">
        <v>0.5</v>
      </c>
      <c r="C263" s="15" t="s">
        <v>31</v>
      </c>
      <c r="D263" s="53" t="s">
        <v>32</v>
      </c>
      <c r="E263" s="16">
        <v>42301</v>
      </c>
      <c r="F263" s="21" t="s">
        <v>535</v>
      </c>
      <c r="G263" s="6" t="s">
        <v>150</v>
      </c>
      <c r="H263" s="9">
        <v>120</v>
      </c>
      <c r="I263" s="22">
        <v>12</v>
      </c>
      <c r="J263" s="13">
        <f t="shared" si="35"/>
        <v>240400</v>
      </c>
      <c r="K263" s="9">
        <v>37</v>
      </c>
      <c r="L263" s="14">
        <v>323.64</v>
      </c>
      <c r="M263" s="14">
        <v>323.64</v>
      </c>
      <c r="N263" s="14">
        <v>1133.6500000000001</v>
      </c>
      <c r="O263" s="14">
        <f t="shared" si="37"/>
        <v>-810.0100000000001</v>
      </c>
      <c r="P263" s="14">
        <v>50</v>
      </c>
      <c r="Q263" s="21">
        <f t="shared" si="36"/>
        <v>-405.00500000000005</v>
      </c>
      <c r="R263" s="6" t="s">
        <v>58</v>
      </c>
      <c r="S263" s="6" t="s">
        <v>485</v>
      </c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</row>
    <row r="264" spans="1:252" s="24" customFormat="1" ht="20" customHeight="1">
      <c r="A264" s="29">
        <v>254</v>
      </c>
      <c r="B264" s="1">
        <v>0.5</v>
      </c>
      <c r="C264" s="15" t="s">
        <v>20</v>
      </c>
      <c r="D264" s="53" t="s">
        <v>139</v>
      </c>
      <c r="E264" s="16">
        <v>42295</v>
      </c>
      <c r="F264" s="21" t="s">
        <v>528</v>
      </c>
      <c r="G264" s="6" t="s">
        <v>24</v>
      </c>
      <c r="H264" s="9">
        <v>2200</v>
      </c>
      <c r="I264" s="22" t="s">
        <v>499</v>
      </c>
      <c r="J264" s="13">
        <f t="shared" si="35"/>
        <v>242600</v>
      </c>
      <c r="K264" s="9">
        <v>784</v>
      </c>
      <c r="L264" s="14">
        <v>27697.31</v>
      </c>
      <c r="M264" s="14">
        <f>L264+749.8</f>
        <v>28447.11</v>
      </c>
      <c r="N264" s="14">
        <v>52344.57</v>
      </c>
      <c r="O264" s="14">
        <f t="shared" si="37"/>
        <v>-23897.46</v>
      </c>
      <c r="P264" s="14">
        <v>50</v>
      </c>
      <c r="Q264" s="21">
        <f t="shared" si="36"/>
        <v>-11948.73</v>
      </c>
      <c r="R264" s="6" t="s">
        <v>41</v>
      </c>
      <c r="S264" s="6" t="s">
        <v>485</v>
      </c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</row>
    <row r="265" spans="1:252" s="24" customFormat="1" ht="20" customHeight="1">
      <c r="A265" s="29">
        <v>255</v>
      </c>
      <c r="B265" s="1">
        <v>0.5</v>
      </c>
      <c r="C265" s="15" t="s">
        <v>20</v>
      </c>
      <c r="D265" s="53" t="s">
        <v>32</v>
      </c>
      <c r="E265" s="16">
        <v>42329</v>
      </c>
      <c r="F265" s="21" t="s">
        <v>501</v>
      </c>
      <c r="G265" s="6" t="s">
        <v>29</v>
      </c>
      <c r="H265" s="9">
        <v>925</v>
      </c>
      <c r="I265" s="22" t="s">
        <v>30</v>
      </c>
      <c r="J265" s="13">
        <f t="shared" si="35"/>
        <v>243525</v>
      </c>
      <c r="K265" s="9">
        <v>893</v>
      </c>
      <c r="L265" s="14">
        <v>19863.900000000001</v>
      </c>
      <c r="M265" s="14">
        <f>L265+1159.82</f>
        <v>21023.72</v>
      </c>
      <c r="N265" s="14">
        <v>16264.49</v>
      </c>
      <c r="O265" s="14">
        <f t="shared" si="37"/>
        <v>4759.2300000000014</v>
      </c>
      <c r="P265" s="14">
        <v>50</v>
      </c>
      <c r="Q265" s="21">
        <f t="shared" si="36"/>
        <v>2379.6150000000007</v>
      </c>
      <c r="R265" s="6" t="s">
        <v>487</v>
      </c>
      <c r="S265" s="6" t="s">
        <v>26</v>
      </c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</row>
    <row r="266" spans="1:252" s="24" customFormat="1" ht="20" customHeight="1">
      <c r="A266" s="29">
        <v>256</v>
      </c>
      <c r="B266" s="1">
        <v>0.5</v>
      </c>
      <c r="C266" s="15" t="s">
        <v>31</v>
      </c>
      <c r="D266" s="53" t="s">
        <v>22</v>
      </c>
      <c r="E266" s="16">
        <v>42307</v>
      </c>
      <c r="F266" s="21" t="s">
        <v>540</v>
      </c>
      <c r="G266" s="6" t="s">
        <v>85</v>
      </c>
      <c r="H266" s="9">
        <v>300</v>
      </c>
      <c r="I266" s="22" t="s">
        <v>200</v>
      </c>
      <c r="J266" s="13">
        <f t="shared" si="35"/>
        <v>243825</v>
      </c>
      <c r="K266" s="9">
        <v>241</v>
      </c>
      <c r="L266" s="14">
        <v>3186.81</v>
      </c>
      <c r="M266" s="14">
        <v>3186.81</v>
      </c>
      <c r="N266" s="14">
        <v>3194.56</v>
      </c>
      <c r="O266" s="14">
        <f t="shared" si="37"/>
        <v>-7.75</v>
      </c>
      <c r="P266" s="14">
        <v>50</v>
      </c>
      <c r="Q266" s="21">
        <f t="shared" si="36"/>
        <v>-3.875</v>
      </c>
      <c r="R266" s="6" t="s">
        <v>237</v>
      </c>
      <c r="S266" s="6" t="s">
        <v>485</v>
      </c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</row>
    <row r="267" spans="1:252" s="24" customFormat="1" ht="20" customHeight="1">
      <c r="A267" s="29">
        <v>257</v>
      </c>
      <c r="B267" s="1">
        <v>0.5</v>
      </c>
      <c r="C267" s="15" t="s">
        <v>31</v>
      </c>
      <c r="D267" s="53" t="s">
        <v>139</v>
      </c>
      <c r="E267" s="16">
        <v>42344</v>
      </c>
      <c r="F267" s="21" t="s">
        <v>505</v>
      </c>
      <c r="G267" s="6" t="s">
        <v>56</v>
      </c>
      <c r="H267" s="9">
        <v>300</v>
      </c>
      <c r="I267" s="22" t="s">
        <v>38</v>
      </c>
      <c r="J267" s="13">
        <f t="shared" si="35"/>
        <v>244125</v>
      </c>
      <c r="K267" s="9">
        <v>144</v>
      </c>
      <c r="L267" s="14">
        <v>2325.9699999999998</v>
      </c>
      <c r="M267" s="14">
        <v>2325.9699999999998</v>
      </c>
      <c r="N267" s="14">
        <v>3841.23</v>
      </c>
      <c r="O267" s="14">
        <f t="shared" si="37"/>
        <v>-1515.2600000000002</v>
      </c>
      <c r="P267" s="14">
        <v>50</v>
      </c>
      <c r="Q267" s="21">
        <f t="shared" si="36"/>
        <v>-757.63000000000011</v>
      </c>
      <c r="R267" s="6" t="s">
        <v>496</v>
      </c>
      <c r="S267" s="6" t="s">
        <v>25</v>
      </c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</row>
    <row r="268" spans="1:252" s="24" customFormat="1" ht="20" customHeight="1">
      <c r="A268" s="29">
        <v>258</v>
      </c>
      <c r="B268" s="1">
        <v>0.5</v>
      </c>
      <c r="C268" s="15" t="s">
        <v>31</v>
      </c>
      <c r="D268" s="53" t="s">
        <v>75</v>
      </c>
      <c r="E268" s="16">
        <v>42298</v>
      </c>
      <c r="F268" s="21" t="s">
        <v>613</v>
      </c>
      <c r="G268" s="6" t="s">
        <v>33</v>
      </c>
      <c r="H268" s="9">
        <v>170</v>
      </c>
      <c r="I268" s="22">
        <v>10</v>
      </c>
      <c r="J268" s="13">
        <f t="shared" si="35"/>
        <v>244295</v>
      </c>
      <c r="K268" s="9">
        <v>176</v>
      </c>
      <c r="L268" s="14">
        <v>1531.2</v>
      </c>
      <c r="M268" s="14">
        <v>1531.2</v>
      </c>
      <c r="N268" s="14">
        <v>1206.76</v>
      </c>
      <c r="O268" s="14">
        <f t="shared" si="37"/>
        <v>324.44000000000005</v>
      </c>
      <c r="P268" s="14">
        <v>50</v>
      </c>
      <c r="Q268" s="21">
        <f t="shared" si="36"/>
        <v>162.22000000000003</v>
      </c>
      <c r="R268" s="6" t="s">
        <v>70</v>
      </c>
      <c r="S268" s="6" t="s">
        <v>485</v>
      </c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</row>
    <row r="269" spans="1:252" s="24" customFormat="1" ht="20" customHeight="1">
      <c r="A269" s="29">
        <v>259</v>
      </c>
      <c r="B269" s="1">
        <v>0.5</v>
      </c>
      <c r="C269" s="15" t="s">
        <v>31</v>
      </c>
      <c r="D269" s="53" t="s">
        <v>32</v>
      </c>
      <c r="E269" s="16">
        <v>42287</v>
      </c>
      <c r="F269" s="21" t="s">
        <v>580</v>
      </c>
      <c r="G269" s="6" t="s">
        <v>163</v>
      </c>
      <c r="H269" s="9">
        <v>110</v>
      </c>
      <c r="I269" s="22">
        <v>15</v>
      </c>
      <c r="J269" s="13">
        <f t="shared" si="35"/>
        <v>244405</v>
      </c>
      <c r="K269" s="9">
        <v>116</v>
      </c>
      <c r="L269" s="14">
        <v>1513.8</v>
      </c>
      <c r="M269" s="14">
        <v>1513.8</v>
      </c>
      <c r="N269" s="14">
        <v>1377.95</v>
      </c>
      <c r="O269" s="14">
        <f t="shared" si="37"/>
        <v>135.84999999999991</v>
      </c>
      <c r="P269" s="14">
        <v>50</v>
      </c>
      <c r="Q269" s="21">
        <f t="shared" si="36"/>
        <v>67.924999999999955</v>
      </c>
      <c r="R269" s="6" t="s">
        <v>127</v>
      </c>
      <c r="S269" s="6" t="s">
        <v>83</v>
      </c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</row>
    <row r="270" spans="1:252" s="24" customFormat="1" ht="20" customHeight="1">
      <c r="A270" s="29">
        <v>260</v>
      </c>
      <c r="B270" s="1">
        <v>0.5</v>
      </c>
      <c r="C270" s="15" t="s">
        <v>20</v>
      </c>
      <c r="D270" s="53" t="s">
        <v>23</v>
      </c>
      <c r="E270" s="16">
        <v>42317</v>
      </c>
      <c r="F270" s="21" t="s">
        <v>507</v>
      </c>
      <c r="G270" s="6" t="s">
        <v>29</v>
      </c>
      <c r="H270" s="9">
        <v>925</v>
      </c>
      <c r="I270" s="22" t="s">
        <v>37</v>
      </c>
      <c r="J270" s="13">
        <f t="shared" si="35"/>
        <v>245330</v>
      </c>
      <c r="K270" s="9">
        <v>845</v>
      </c>
      <c r="L270" s="14">
        <v>20425.14</v>
      </c>
      <c r="M270" s="14">
        <f>L270+980.21</f>
        <v>21405.35</v>
      </c>
      <c r="N270" s="14">
        <v>17336.990000000002</v>
      </c>
      <c r="O270" s="14">
        <f t="shared" si="37"/>
        <v>4068.3599999999969</v>
      </c>
      <c r="P270" s="14">
        <v>50</v>
      </c>
      <c r="Q270" s="21">
        <f t="shared" si="36"/>
        <v>2034.1799999999985</v>
      </c>
      <c r="R270" s="6" t="s">
        <v>508</v>
      </c>
      <c r="S270" s="6" t="s">
        <v>26</v>
      </c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</row>
    <row r="271" spans="1:252" s="24" customFormat="1" ht="20" customHeight="1">
      <c r="A271" s="29">
        <v>261</v>
      </c>
      <c r="B271" s="1">
        <v>0.5</v>
      </c>
      <c r="C271" s="15" t="s">
        <v>31</v>
      </c>
      <c r="D271" s="53" t="s">
        <v>21</v>
      </c>
      <c r="E271" s="16">
        <v>42269</v>
      </c>
      <c r="F271" s="21" t="s">
        <v>571</v>
      </c>
      <c r="G271" s="6" t="s">
        <v>509</v>
      </c>
      <c r="H271" s="9">
        <v>450</v>
      </c>
      <c r="I271" s="22" t="s">
        <v>102</v>
      </c>
      <c r="J271" s="13">
        <f t="shared" ref="J271:J296" si="38">J270+H271</f>
        <v>245780</v>
      </c>
      <c r="K271" s="9">
        <v>453</v>
      </c>
      <c r="L271" s="14">
        <v>8164.77</v>
      </c>
      <c r="M271" s="14">
        <v>8164.77</v>
      </c>
      <c r="N271" s="14">
        <v>6894.08</v>
      </c>
      <c r="O271" s="14">
        <v>1069.5999999999999</v>
      </c>
      <c r="P271" s="14">
        <v>50</v>
      </c>
      <c r="Q271" s="21">
        <f t="shared" si="36"/>
        <v>534.79999999999995</v>
      </c>
      <c r="R271" s="6" t="s">
        <v>510</v>
      </c>
      <c r="S271" s="6" t="s">
        <v>26</v>
      </c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</row>
    <row r="272" spans="1:252" s="24" customFormat="1" ht="20" customHeight="1">
      <c r="A272" s="29">
        <v>262</v>
      </c>
      <c r="B272" s="1">
        <v>0.25</v>
      </c>
      <c r="C272" s="15" t="s">
        <v>339</v>
      </c>
      <c r="D272" s="53" t="s">
        <v>22</v>
      </c>
      <c r="E272" s="16">
        <v>42251</v>
      </c>
      <c r="F272" s="21" t="s">
        <v>634</v>
      </c>
      <c r="G272" s="6" t="s">
        <v>252</v>
      </c>
      <c r="H272" s="9">
        <v>450</v>
      </c>
      <c r="I272" s="22" t="s">
        <v>511</v>
      </c>
      <c r="J272" s="13">
        <f t="shared" si="38"/>
        <v>246230</v>
      </c>
      <c r="K272" s="9">
        <v>144</v>
      </c>
      <c r="L272" s="14">
        <v>1784.74</v>
      </c>
      <c r="M272" s="14">
        <f>1784.74+179.17</f>
        <v>1963.91</v>
      </c>
      <c r="N272" s="14">
        <v>3529.36</v>
      </c>
      <c r="O272" s="14">
        <f>M272-N272</f>
        <v>-1565.45</v>
      </c>
      <c r="P272" s="14">
        <v>25</v>
      </c>
      <c r="Q272" s="21">
        <f>O272/4</f>
        <v>-391.36250000000001</v>
      </c>
      <c r="R272" s="6" t="s">
        <v>496</v>
      </c>
      <c r="S272" s="6" t="s">
        <v>83</v>
      </c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</row>
    <row r="273" spans="1:252" s="24" customFormat="1" ht="20" customHeight="1">
      <c r="A273" s="29">
        <v>263</v>
      </c>
      <c r="B273" s="1">
        <v>0.25</v>
      </c>
      <c r="C273" s="15" t="s">
        <v>96</v>
      </c>
      <c r="D273" s="53" t="s">
        <v>75</v>
      </c>
      <c r="E273" s="16">
        <v>42326</v>
      </c>
      <c r="F273" s="21" t="s">
        <v>512</v>
      </c>
      <c r="G273" s="6" t="s">
        <v>67</v>
      </c>
      <c r="H273" s="9">
        <v>2250</v>
      </c>
      <c r="I273" s="22" t="s">
        <v>40</v>
      </c>
      <c r="J273" s="13">
        <f t="shared" si="38"/>
        <v>248480</v>
      </c>
      <c r="K273" s="9">
        <v>2506</v>
      </c>
      <c r="L273" s="14">
        <v>54498.14</v>
      </c>
      <c r="M273" s="14">
        <v>54489.14</v>
      </c>
      <c r="N273" s="14">
        <f>44729.78+3049.9</f>
        <v>47779.68</v>
      </c>
      <c r="O273" s="14">
        <f>M273-N273+457.48</f>
        <v>7166.9399999999987</v>
      </c>
      <c r="P273" s="14">
        <v>0.25</v>
      </c>
      <c r="Q273" s="21">
        <f>P273*O273</f>
        <v>1791.7349999999997</v>
      </c>
      <c r="R273" s="6" t="s">
        <v>282</v>
      </c>
      <c r="S273" s="6" t="s">
        <v>83</v>
      </c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</row>
    <row r="274" spans="1:252" s="24" customFormat="1" ht="20" customHeight="1">
      <c r="A274" s="29">
        <v>264</v>
      </c>
      <c r="B274" s="1">
        <v>0.33</v>
      </c>
      <c r="C274" s="15" t="s">
        <v>513</v>
      </c>
      <c r="D274" s="53" t="s">
        <v>75</v>
      </c>
      <c r="E274" s="16">
        <v>42312</v>
      </c>
      <c r="F274" s="21" t="s">
        <v>624</v>
      </c>
      <c r="G274" s="6" t="s">
        <v>183</v>
      </c>
      <c r="H274" s="9">
        <v>550</v>
      </c>
      <c r="I274" s="22" t="s">
        <v>79</v>
      </c>
      <c r="J274" s="13">
        <f t="shared" si="38"/>
        <v>249030</v>
      </c>
      <c r="K274" s="9">
        <v>491</v>
      </c>
      <c r="L274" s="14">
        <v>10044.459999999999</v>
      </c>
      <c r="M274" s="14">
        <v>10044.459999999999</v>
      </c>
      <c r="N274" s="14">
        <v>8919.92</v>
      </c>
      <c r="O274" s="14">
        <f t="shared" ref="O274:O280" si="39">M274-N274</f>
        <v>1124.5399999999991</v>
      </c>
      <c r="P274" s="14">
        <v>50</v>
      </c>
      <c r="Q274" s="21">
        <f>O274/3</f>
        <v>374.84666666666635</v>
      </c>
      <c r="R274" s="6" t="s">
        <v>430</v>
      </c>
      <c r="S274" s="6" t="s">
        <v>485</v>
      </c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</row>
    <row r="275" spans="1:252" s="24" customFormat="1" ht="20" customHeight="1">
      <c r="A275" s="29">
        <v>265</v>
      </c>
      <c r="B275" s="1">
        <v>0.25</v>
      </c>
      <c r="C275" s="15" t="s">
        <v>339</v>
      </c>
      <c r="D275" s="53" t="s">
        <v>22</v>
      </c>
      <c r="E275" s="16">
        <v>42279</v>
      </c>
      <c r="F275" s="21" t="s">
        <v>641</v>
      </c>
      <c r="G275" s="6" t="s">
        <v>252</v>
      </c>
      <c r="H275" s="9">
        <v>500</v>
      </c>
      <c r="I275" s="22" t="s">
        <v>340</v>
      </c>
      <c r="J275" s="13">
        <f t="shared" si="38"/>
        <v>249530</v>
      </c>
      <c r="K275" s="9">
        <v>266</v>
      </c>
      <c r="L275" s="14">
        <v>4368.78</v>
      </c>
      <c r="M275" s="14">
        <f>L275+555.77</f>
        <v>4924.5499999999993</v>
      </c>
      <c r="N275" s="14">
        <v>5275</v>
      </c>
      <c r="O275" s="14">
        <f t="shared" si="39"/>
        <v>-350.45000000000073</v>
      </c>
      <c r="P275" s="14">
        <v>25</v>
      </c>
      <c r="Q275" s="21">
        <f>O275/4</f>
        <v>-87.612500000000182</v>
      </c>
      <c r="R275" s="6" t="s">
        <v>87</v>
      </c>
      <c r="S275" s="6" t="s">
        <v>83</v>
      </c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</row>
    <row r="276" spans="1:252" s="24" customFormat="1" ht="20" customHeight="1">
      <c r="A276" s="29">
        <v>266</v>
      </c>
      <c r="B276" s="1">
        <v>0.5</v>
      </c>
      <c r="C276" s="15" t="s">
        <v>31</v>
      </c>
      <c r="D276" s="53" t="s">
        <v>21</v>
      </c>
      <c r="E276" s="16">
        <v>42283</v>
      </c>
      <c r="F276" s="21" t="s">
        <v>524</v>
      </c>
      <c r="G276" s="6" t="s">
        <v>143</v>
      </c>
      <c r="H276" s="9">
        <v>800</v>
      </c>
      <c r="I276" s="22" t="s">
        <v>81</v>
      </c>
      <c r="J276" s="13">
        <f t="shared" si="38"/>
        <v>250330</v>
      </c>
      <c r="K276" s="9">
        <v>387</v>
      </c>
      <c r="L276" s="14">
        <v>7712.47</v>
      </c>
      <c r="M276" s="14">
        <v>7712.47</v>
      </c>
      <c r="N276" s="14">
        <v>8248.65</v>
      </c>
      <c r="O276" s="14">
        <f t="shared" si="39"/>
        <v>-536.17999999999938</v>
      </c>
      <c r="P276" s="14">
        <v>50</v>
      </c>
      <c r="Q276" s="21">
        <f t="shared" ref="Q276:Q283" si="40">O276/2</f>
        <v>-268.08999999999969</v>
      </c>
      <c r="R276" s="6" t="s">
        <v>525</v>
      </c>
      <c r="S276" s="6" t="s">
        <v>80</v>
      </c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</row>
    <row r="277" spans="1:252" s="24" customFormat="1" ht="20" customHeight="1">
      <c r="A277" s="29">
        <v>267</v>
      </c>
      <c r="B277" s="1">
        <v>0.5</v>
      </c>
      <c r="C277" s="15" t="s">
        <v>31</v>
      </c>
      <c r="D277" s="53" t="s">
        <v>21</v>
      </c>
      <c r="E277" s="16">
        <v>42290</v>
      </c>
      <c r="F277" s="21" t="s">
        <v>545</v>
      </c>
      <c r="G277" s="6" t="s">
        <v>429</v>
      </c>
      <c r="H277" s="9">
        <v>140</v>
      </c>
      <c r="I277" s="22">
        <v>12</v>
      </c>
      <c r="J277" s="13">
        <f t="shared" si="38"/>
        <v>250470</v>
      </c>
      <c r="K277" s="9">
        <v>23</v>
      </c>
      <c r="L277" s="14">
        <v>240.12</v>
      </c>
      <c r="M277" s="14">
        <v>240.12</v>
      </c>
      <c r="N277" s="14">
        <v>1194.8599999999999</v>
      </c>
      <c r="O277" s="14">
        <f t="shared" si="39"/>
        <v>-954.7399999999999</v>
      </c>
      <c r="P277" s="14">
        <v>50</v>
      </c>
      <c r="Q277" s="21">
        <f t="shared" si="40"/>
        <v>-477.36999999999995</v>
      </c>
      <c r="R277" s="6" t="s">
        <v>41</v>
      </c>
      <c r="S277" s="6" t="s">
        <v>485</v>
      </c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</row>
    <row r="278" spans="1:252" s="24" customFormat="1" ht="20" customHeight="1">
      <c r="A278" s="29">
        <v>268</v>
      </c>
      <c r="B278" s="1">
        <v>0.5</v>
      </c>
      <c r="C278" s="15" t="s">
        <v>31</v>
      </c>
      <c r="D278" s="53" t="s">
        <v>23</v>
      </c>
      <c r="E278" s="16">
        <v>42303</v>
      </c>
      <c r="F278" s="21" t="s">
        <v>547</v>
      </c>
      <c r="G278" s="6" t="s">
        <v>429</v>
      </c>
      <c r="H278" s="9">
        <v>150</v>
      </c>
      <c r="I278" s="22" t="s">
        <v>126</v>
      </c>
      <c r="J278" s="13">
        <f t="shared" si="38"/>
        <v>250620</v>
      </c>
      <c r="K278" s="9">
        <v>23</v>
      </c>
      <c r="L278" s="14">
        <v>236.64</v>
      </c>
      <c r="M278" s="14">
        <v>236.64</v>
      </c>
      <c r="N278" s="14">
        <v>1102.6300000000001</v>
      </c>
      <c r="O278" s="14">
        <f t="shared" si="39"/>
        <v>-865.99000000000012</v>
      </c>
      <c r="P278" s="14">
        <v>50</v>
      </c>
      <c r="Q278" s="21">
        <f t="shared" si="40"/>
        <v>-432.99500000000006</v>
      </c>
      <c r="R278" s="6" t="s">
        <v>87</v>
      </c>
      <c r="S278" s="6" t="s">
        <v>25</v>
      </c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</row>
    <row r="279" spans="1:252" s="24" customFormat="1" ht="20" customHeight="1">
      <c r="A279" s="29">
        <v>269</v>
      </c>
      <c r="B279" s="1">
        <v>0.5</v>
      </c>
      <c r="C279" s="15" t="s">
        <v>31</v>
      </c>
      <c r="D279" s="53" t="s">
        <v>27</v>
      </c>
      <c r="E279" s="16">
        <v>42285</v>
      </c>
      <c r="F279" s="21" t="s">
        <v>619</v>
      </c>
      <c r="G279" s="6" t="s">
        <v>530</v>
      </c>
      <c r="H279" s="9">
        <v>300</v>
      </c>
      <c r="I279" s="22" t="s">
        <v>38</v>
      </c>
      <c r="J279" s="13">
        <f t="shared" si="38"/>
        <v>250920</v>
      </c>
      <c r="K279" s="9">
        <v>278</v>
      </c>
      <c r="L279" s="14">
        <v>4567.96</v>
      </c>
      <c r="M279" s="14">
        <v>4657.96</v>
      </c>
      <c r="N279" s="14">
        <v>5041.8500000000004</v>
      </c>
      <c r="O279" s="14">
        <f t="shared" si="39"/>
        <v>-383.89000000000033</v>
      </c>
      <c r="P279" s="14">
        <v>50</v>
      </c>
      <c r="Q279" s="21">
        <f t="shared" si="40"/>
        <v>-191.94500000000016</v>
      </c>
      <c r="R279" s="6" t="s">
        <v>496</v>
      </c>
      <c r="S279" s="6" t="s">
        <v>83</v>
      </c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</row>
    <row r="280" spans="1:252" s="24" customFormat="1" ht="20" customHeight="1">
      <c r="A280" s="29">
        <v>270</v>
      </c>
      <c r="B280" s="1">
        <v>0.5</v>
      </c>
      <c r="C280" s="15" t="s">
        <v>31</v>
      </c>
      <c r="D280" s="53" t="s">
        <v>21</v>
      </c>
      <c r="E280" s="16">
        <v>42318</v>
      </c>
      <c r="F280" s="21" t="s">
        <v>534</v>
      </c>
      <c r="G280" s="6" t="s">
        <v>85</v>
      </c>
      <c r="H280" s="9">
        <v>300</v>
      </c>
      <c r="I280" s="22" t="s">
        <v>200</v>
      </c>
      <c r="J280" s="13">
        <f t="shared" si="38"/>
        <v>251220</v>
      </c>
      <c r="K280" s="9">
        <v>300</v>
      </c>
      <c r="L280" s="14">
        <v>3915</v>
      </c>
      <c r="M280" s="14">
        <v>3915</v>
      </c>
      <c r="N280" s="14">
        <v>3203.19</v>
      </c>
      <c r="O280" s="14">
        <f t="shared" si="39"/>
        <v>711.81</v>
      </c>
      <c r="P280" s="14">
        <v>50</v>
      </c>
      <c r="Q280" s="21">
        <f t="shared" si="40"/>
        <v>355.90499999999997</v>
      </c>
      <c r="R280" s="6" t="s">
        <v>496</v>
      </c>
      <c r="S280" s="6" t="s">
        <v>83</v>
      </c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</row>
    <row r="281" spans="1:252" s="24" customFormat="1" ht="20" customHeight="1">
      <c r="A281" s="29">
        <v>271</v>
      </c>
      <c r="B281" s="1">
        <v>0.5</v>
      </c>
      <c r="C281" s="15" t="s">
        <v>20</v>
      </c>
      <c r="D281" s="53" t="s">
        <v>21</v>
      </c>
      <c r="E281" s="16">
        <v>42325</v>
      </c>
      <c r="F281" s="21" t="s">
        <v>608</v>
      </c>
      <c r="G281" s="6" t="s">
        <v>24</v>
      </c>
      <c r="H281" s="9">
        <v>2200</v>
      </c>
      <c r="I281" s="22">
        <v>31.5</v>
      </c>
      <c r="J281" s="13">
        <f t="shared" si="38"/>
        <v>253420</v>
      </c>
      <c r="K281" s="9">
        <v>2274</v>
      </c>
      <c r="L281" s="14">
        <v>62307.6</v>
      </c>
      <c r="M281" s="14">
        <f>L281+3303.45</f>
        <v>65611.05</v>
      </c>
      <c r="N281" s="14">
        <v>53816.89</v>
      </c>
      <c r="O281" s="14">
        <f>M281-N281</f>
        <v>11794.160000000003</v>
      </c>
      <c r="P281" s="14">
        <v>50</v>
      </c>
      <c r="Q281" s="21">
        <f t="shared" si="40"/>
        <v>5897.0800000000017</v>
      </c>
      <c r="R281" s="6" t="s">
        <v>347</v>
      </c>
      <c r="S281" s="6" t="s">
        <v>26</v>
      </c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</row>
    <row r="282" spans="1:252" s="24" customFormat="1" ht="20" customHeight="1">
      <c r="A282" s="29">
        <v>272</v>
      </c>
      <c r="B282" s="1">
        <v>0.5</v>
      </c>
      <c r="C282" s="15" t="s">
        <v>31</v>
      </c>
      <c r="D282" s="53" t="s">
        <v>75</v>
      </c>
      <c r="E282" s="16">
        <v>42340</v>
      </c>
      <c r="F282" s="21" t="s">
        <v>533</v>
      </c>
      <c r="G282" s="6" t="s">
        <v>186</v>
      </c>
      <c r="H282" s="9">
        <v>500</v>
      </c>
      <c r="I282" s="22" t="s">
        <v>34</v>
      </c>
      <c r="J282" s="13">
        <f t="shared" si="38"/>
        <v>253920</v>
      </c>
      <c r="K282" s="9">
        <v>505</v>
      </c>
      <c r="L282" s="14">
        <v>7753.37</v>
      </c>
      <c r="M282" s="14">
        <v>7753.37</v>
      </c>
      <c r="N282" s="14">
        <v>6015.36</v>
      </c>
      <c r="O282" s="14">
        <v>1027.6600000000001</v>
      </c>
      <c r="P282" s="14">
        <v>50</v>
      </c>
      <c r="Q282" s="21">
        <f t="shared" si="40"/>
        <v>513.83000000000004</v>
      </c>
      <c r="R282" s="6" t="s">
        <v>237</v>
      </c>
      <c r="S282" s="6" t="s">
        <v>485</v>
      </c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</row>
    <row r="283" spans="1:252" s="24" customFormat="1" ht="20" customHeight="1">
      <c r="A283" s="29">
        <v>273</v>
      </c>
      <c r="B283" s="1">
        <v>0.5</v>
      </c>
      <c r="C283" s="15" t="s">
        <v>31</v>
      </c>
      <c r="D283" s="53" t="s">
        <v>75</v>
      </c>
      <c r="E283" s="16">
        <v>42319</v>
      </c>
      <c r="F283" s="21" t="s">
        <v>631</v>
      </c>
      <c r="G283" s="6" t="s">
        <v>85</v>
      </c>
      <c r="H283" s="9">
        <v>300</v>
      </c>
      <c r="I283" s="22" t="s">
        <v>264</v>
      </c>
      <c r="J283" s="13">
        <f t="shared" si="38"/>
        <v>254220</v>
      </c>
      <c r="K283" s="9">
        <v>84</v>
      </c>
      <c r="L283" s="14">
        <v>1539</v>
      </c>
      <c r="M283" s="14">
        <v>1539</v>
      </c>
      <c r="N283" s="14">
        <v>3584.66</v>
      </c>
      <c r="O283" s="14">
        <f>M283-N283</f>
        <v>-2045.6599999999999</v>
      </c>
      <c r="P283" s="14">
        <v>50</v>
      </c>
      <c r="Q283" s="21">
        <f t="shared" si="40"/>
        <v>-1022.8299999999999</v>
      </c>
      <c r="R283" s="6" t="s">
        <v>122</v>
      </c>
      <c r="S283" s="6" t="s">
        <v>485</v>
      </c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</row>
    <row r="284" spans="1:252" s="24" customFormat="1" ht="20" customHeight="1">
      <c r="A284" s="29">
        <v>274</v>
      </c>
      <c r="B284" s="1">
        <v>0.25</v>
      </c>
      <c r="C284" s="15" t="s">
        <v>96</v>
      </c>
      <c r="D284" s="53" t="s">
        <v>75</v>
      </c>
      <c r="E284" s="16">
        <v>42333</v>
      </c>
      <c r="F284" s="21" t="s">
        <v>536</v>
      </c>
      <c r="G284" s="6" t="s">
        <v>186</v>
      </c>
      <c r="H284" s="9">
        <v>550</v>
      </c>
      <c r="I284" s="22" t="s">
        <v>112</v>
      </c>
      <c r="J284" s="13">
        <f t="shared" si="38"/>
        <v>254770</v>
      </c>
      <c r="K284" s="29"/>
      <c r="L284" s="14"/>
      <c r="M284" s="14"/>
      <c r="N284" s="14"/>
      <c r="O284" s="14"/>
      <c r="P284" s="14"/>
      <c r="Q284" s="21">
        <v>-520.37</v>
      </c>
      <c r="R284" s="6" t="s">
        <v>496</v>
      </c>
      <c r="S284" s="6" t="s">
        <v>99</v>
      </c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</row>
    <row r="285" spans="1:252" s="24" customFormat="1" ht="20" customHeight="1">
      <c r="A285" s="29">
        <v>275</v>
      </c>
      <c r="B285" s="1">
        <v>0.5</v>
      </c>
      <c r="C285" s="15" t="s">
        <v>31</v>
      </c>
      <c r="D285" s="53" t="s">
        <v>32</v>
      </c>
      <c r="E285" s="16">
        <v>42322</v>
      </c>
      <c r="F285" s="21" t="s">
        <v>541</v>
      </c>
      <c r="G285" s="6" t="s">
        <v>305</v>
      </c>
      <c r="H285" s="9">
        <v>1050</v>
      </c>
      <c r="I285" s="22">
        <v>12</v>
      </c>
      <c r="J285" s="13">
        <f t="shared" si="38"/>
        <v>255820</v>
      </c>
      <c r="K285" s="9">
        <v>56</v>
      </c>
      <c r="L285" s="14">
        <v>584.64</v>
      </c>
      <c r="M285" s="14">
        <v>584.64</v>
      </c>
      <c r="N285" s="14">
        <v>1082.8</v>
      </c>
      <c r="O285" s="14">
        <f t="shared" ref="O285:O295" si="41">M285-N285</f>
        <v>-498.15999999999997</v>
      </c>
      <c r="P285" s="14">
        <v>50</v>
      </c>
      <c r="Q285" s="21">
        <f>O285/2</f>
        <v>-249.07999999999998</v>
      </c>
      <c r="R285" s="6" t="s">
        <v>58</v>
      </c>
      <c r="S285" s="6" t="s">
        <v>485</v>
      </c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</row>
    <row r="286" spans="1:252" s="24" customFormat="1" ht="20" customHeight="1">
      <c r="A286" s="29">
        <v>276</v>
      </c>
      <c r="B286" s="1">
        <v>0.5</v>
      </c>
      <c r="C286" s="15" t="s">
        <v>31</v>
      </c>
      <c r="D286" s="53" t="s">
        <v>27</v>
      </c>
      <c r="E286" s="16">
        <v>42271</v>
      </c>
      <c r="F286" s="21" t="s">
        <v>560</v>
      </c>
      <c r="G286" s="6" t="s">
        <v>186</v>
      </c>
      <c r="H286" s="9">
        <v>500</v>
      </c>
      <c r="I286" s="22" t="s">
        <v>376</v>
      </c>
      <c r="J286" s="13">
        <f t="shared" si="38"/>
        <v>256320</v>
      </c>
      <c r="K286" s="9">
        <v>269</v>
      </c>
      <c r="L286" s="14">
        <v>4747.51</v>
      </c>
      <c r="M286" s="14">
        <v>4747.51</v>
      </c>
      <c r="N286" s="14">
        <v>7137.14</v>
      </c>
      <c r="O286" s="14">
        <f t="shared" si="41"/>
        <v>-2389.63</v>
      </c>
      <c r="P286" s="14">
        <v>50</v>
      </c>
      <c r="Q286" s="21">
        <f>O286/2</f>
        <v>-1194.8150000000001</v>
      </c>
      <c r="R286" s="6" t="s">
        <v>127</v>
      </c>
      <c r="S286" s="6" t="s">
        <v>83</v>
      </c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</row>
    <row r="287" spans="1:252" s="24" customFormat="1" ht="20" customHeight="1">
      <c r="A287" s="29">
        <v>277</v>
      </c>
      <c r="B287" s="1">
        <v>0.5</v>
      </c>
      <c r="C287" s="15" t="s">
        <v>31</v>
      </c>
      <c r="D287" s="53" t="s">
        <v>22</v>
      </c>
      <c r="E287" s="16">
        <v>42328</v>
      </c>
      <c r="F287" s="21" t="s">
        <v>594</v>
      </c>
      <c r="G287" s="6" t="s">
        <v>274</v>
      </c>
      <c r="H287" s="9">
        <v>400</v>
      </c>
      <c r="I287" s="22" t="s">
        <v>30</v>
      </c>
      <c r="J287" s="13">
        <f t="shared" si="38"/>
        <v>256720</v>
      </c>
      <c r="K287" s="9">
        <v>143</v>
      </c>
      <c r="L287" s="14">
        <v>3161.14</v>
      </c>
      <c r="M287" s="14">
        <v>3161.14</v>
      </c>
      <c r="N287" s="14">
        <v>5895.07</v>
      </c>
      <c r="O287" s="14">
        <f t="shared" si="41"/>
        <v>-2733.93</v>
      </c>
      <c r="P287" s="14">
        <v>50</v>
      </c>
      <c r="Q287" s="21">
        <f>O287/2</f>
        <v>-1366.9649999999999</v>
      </c>
      <c r="R287" s="6" t="s">
        <v>170</v>
      </c>
      <c r="S287" s="6" t="s">
        <v>26</v>
      </c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</row>
    <row r="288" spans="1:252" s="24" customFormat="1" ht="20" customHeight="1">
      <c r="A288" s="29">
        <v>278</v>
      </c>
      <c r="B288" s="1">
        <v>0.1</v>
      </c>
      <c r="C288" s="15" t="s">
        <v>20</v>
      </c>
      <c r="D288" s="53" t="s">
        <v>21</v>
      </c>
      <c r="E288" s="16">
        <v>42332</v>
      </c>
      <c r="F288" s="21" t="s">
        <v>537</v>
      </c>
      <c r="G288" s="6" t="s">
        <v>61</v>
      </c>
      <c r="H288" s="9">
        <v>10552</v>
      </c>
      <c r="I288" s="22" t="s">
        <v>538</v>
      </c>
      <c r="J288" s="13">
        <f t="shared" si="38"/>
        <v>267272</v>
      </c>
      <c r="K288" s="9">
        <v>16863</v>
      </c>
      <c r="L288" s="14">
        <v>1079860.8400000001</v>
      </c>
      <c r="M288" s="14">
        <f>L288</f>
        <v>1079860.8400000001</v>
      </c>
      <c r="N288" s="14">
        <v>977681.29</v>
      </c>
      <c r="O288" s="14">
        <f t="shared" si="41"/>
        <v>102179.55000000005</v>
      </c>
      <c r="P288" s="14">
        <v>10</v>
      </c>
      <c r="Q288" s="21">
        <v>10217.950000000001</v>
      </c>
      <c r="R288" s="6" t="s">
        <v>87</v>
      </c>
      <c r="S288" s="6" t="s">
        <v>25</v>
      </c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</row>
    <row r="289" spans="1:252" s="24" customFormat="1" ht="20" customHeight="1">
      <c r="A289" s="29">
        <v>279</v>
      </c>
      <c r="B289" s="1">
        <v>0.5</v>
      </c>
      <c r="C289" s="15" t="s">
        <v>31</v>
      </c>
      <c r="D289" s="53" t="s">
        <v>23</v>
      </c>
      <c r="E289" s="16">
        <v>42324</v>
      </c>
      <c r="F289" s="21" t="s">
        <v>617</v>
      </c>
      <c r="G289" s="6" t="s">
        <v>33</v>
      </c>
      <c r="H289" s="9">
        <v>10552</v>
      </c>
      <c r="I289" s="22">
        <v>12</v>
      </c>
      <c r="J289" s="13">
        <f t="shared" si="38"/>
        <v>277824</v>
      </c>
      <c r="K289" s="9">
        <v>6</v>
      </c>
      <c r="L289" s="14">
        <v>62.64</v>
      </c>
      <c r="M289" s="14">
        <v>62.64</v>
      </c>
      <c r="N289" s="14">
        <v>1192.76</v>
      </c>
      <c r="O289" s="14">
        <f t="shared" si="41"/>
        <v>-1130.1199999999999</v>
      </c>
      <c r="P289" s="14">
        <v>50</v>
      </c>
      <c r="Q289" s="21">
        <f t="shared" ref="Q289:Q295" si="42">O289/2</f>
        <v>-565.05999999999995</v>
      </c>
      <c r="R289" s="6" t="s">
        <v>543</v>
      </c>
      <c r="S289" s="6" t="s">
        <v>485</v>
      </c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</row>
    <row r="290" spans="1:252" s="24" customFormat="1" ht="20" customHeight="1">
      <c r="A290" s="29">
        <v>280</v>
      </c>
      <c r="B290" s="1">
        <v>0.5</v>
      </c>
      <c r="C290" s="15" t="s">
        <v>20</v>
      </c>
      <c r="D290" s="53" t="s">
        <v>32</v>
      </c>
      <c r="E290" s="16">
        <v>42336</v>
      </c>
      <c r="F290" s="21" t="s">
        <v>644</v>
      </c>
      <c r="G290" s="6" t="s">
        <v>29</v>
      </c>
      <c r="H290" s="9">
        <v>925</v>
      </c>
      <c r="I290" s="22">
        <v>30</v>
      </c>
      <c r="J290" s="13">
        <f t="shared" si="38"/>
        <v>278749</v>
      </c>
      <c r="K290" s="9">
        <v>674</v>
      </c>
      <c r="L290" s="14">
        <v>17591.400000000001</v>
      </c>
      <c r="M290" s="14">
        <f>L290+884.32</f>
        <v>18475.72</v>
      </c>
      <c r="N290" s="14">
        <v>14445.24</v>
      </c>
      <c r="O290" s="14">
        <f t="shared" si="41"/>
        <v>4030.4800000000014</v>
      </c>
      <c r="P290" s="14">
        <v>50</v>
      </c>
      <c r="Q290" s="21">
        <f t="shared" si="42"/>
        <v>2015.2400000000007</v>
      </c>
      <c r="R290" s="6" t="s">
        <v>371</v>
      </c>
      <c r="S290" s="6" t="s">
        <v>26</v>
      </c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</row>
    <row r="291" spans="1:252" s="24" customFormat="1" ht="20" customHeight="1">
      <c r="A291" s="29">
        <v>281</v>
      </c>
      <c r="B291" s="1">
        <v>0.5</v>
      </c>
      <c r="C291" s="15" t="s">
        <v>31</v>
      </c>
      <c r="D291" s="53" t="s">
        <v>27</v>
      </c>
      <c r="E291" s="16">
        <v>42341</v>
      </c>
      <c r="F291" s="21" t="s">
        <v>638</v>
      </c>
      <c r="G291" s="6" t="s">
        <v>143</v>
      </c>
      <c r="H291" s="9">
        <v>300</v>
      </c>
      <c r="I291" s="22" t="s">
        <v>38</v>
      </c>
      <c r="J291" s="13">
        <f t="shared" si="38"/>
        <v>279049</v>
      </c>
      <c r="K291" s="9">
        <v>188</v>
      </c>
      <c r="L291" s="14">
        <v>2964.06</v>
      </c>
      <c r="M291" s="14">
        <v>2964.06</v>
      </c>
      <c r="N291" s="14">
        <v>4162.57</v>
      </c>
      <c r="O291" s="14">
        <f t="shared" si="41"/>
        <v>-1198.5099999999998</v>
      </c>
      <c r="P291" s="14">
        <v>50</v>
      </c>
      <c r="Q291" s="21">
        <f t="shared" si="42"/>
        <v>-599.25499999999988</v>
      </c>
      <c r="R291" s="6" t="s">
        <v>525</v>
      </c>
      <c r="S291" s="6" t="s">
        <v>80</v>
      </c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</row>
    <row r="292" spans="1:252" s="24" customFormat="1" ht="20" customHeight="1">
      <c r="A292" s="29">
        <v>282</v>
      </c>
      <c r="B292" s="1">
        <v>0.5</v>
      </c>
      <c r="C292" s="15" t="s">
        <v>31</v>
      </c>
      <c r="D292" s="53" t="s">
        <v>21</v>
      </c>
      <c r="E292" s="16">
        <v>42269</v>
      </c>
      <c r="F292" s="21" t="s">
        <v>562</v>
      </c>
      <c r="G292" s="6" t="s">
        <v>56</v>
      </c>
      <c r="H292" s="9">
        <v>300</v>
      </c>
      <c r="I292" s="22" t="s">
        <v>81</v>
      </c>
      <c r="J292" s="13">
        <f t="shared" si="38"/>
        <v>279349</v>
      </c>
      <c r="K292" s="9">
        <v>39</v>
      </c>
      <c r="L292" s="14">
        <v>769.74</v>
      </c>
      <c r="M292" s="14">
        <v>769.74</v>
      </c>
      <c r="N292" s="14">
        <v>4218.1000000000004</v>
      </c>
      <c r="O292" s="14">
        <f t="shared" si="41"/>
        <v>-3448.3600000000006</v>
      </c>
      <c r="P292" s="14">
        <v>50</v>
      </c>
      <c r="Q292" s="21">
        <f t="shared" si="42"/>
        <v>-1724.1800000000003</v>
      </c>
      <c r="R292" s="6" t="s">
        <v>347</v>
      </c>
      <c r="S292" s="6" t="s">
        <v>26</v>
      </c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</row>
    <row r="293" spans="1:252" s="24" customFormat="1" ht="20" customHeight="1">
      <c r="A293" s="29">
        <v>283</v>
      </c>
      <c r="B293" s="1">
        <v>0.5</v>
      </c>
      <c r="C293" s="15" t="s">
        <v>31</v>
      </c>
      <c r="D293" s="53" t="s">
        <v>27</v>
      </c>
      <c r="E293" s="16">
        <v>42313</v>
      </c>
      <c r="F293" s="21" t="s">
        <v>552</v>
      </c>
      <c r="G293" s="6" t="s">
        <v>85</v>
      </c>
      <c r="H293" s="9">
        <v>300</v>
      </c>
      <c r="I293" s="22" t="s">
        <v>38</v>
      </c>
      <c r="J293" s="13">
        <f t="shared" si="38"/>
        <v>279649</v>
      </c>
      <c r="K293" s="9">
        <v>57</v>
      </c>
      <c r="L293" s="14">
        <v>925.49</v>
      </c>
      <c r="M293" s="14">
        <v>925.49</v>
      </c>
      <c r="N293" s="14">
        <v>2733.16</v>
      </c>
      <c r="O293" s="14">
        <f t="shared" si="41"/>
        <v>-1807.6699999999998</v>
      </c>
      <c r="P293" s="14">
        <v>50</v>
      </c>
      <c r="Q293" s="21">
        <f t="shared" si="42"/>
        <v>-903.83499999999992</v>
      </c>
      <c r="R293" s="6" t="s">
        <v>487</v>
      </c>
      <c r="S293" s="6" t="s">
        <v>485</v>
      </c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</row>
    <row r="294" spans="1:252" s="24" customFormat="1" ht="20" customHeight="1">
      <c r="A294" s="29">
        <v>284</v>
      </c>
      <c r="B294" s="1">
        <v>0.5</v>
      </c>
      <c r="C294" s="15" t="s">
        <v>31</v>
      </c>
      <c r="D294" s="53" t="s">
        <v>22</v>
      </c>
      <c r="E294" s="16">
        <v>42328</v>
      </c>
      <c r="F294" s="21" t="s">
        <v>576</v>
      </c>
      <c r="G294" s="6" t="s">
        <v>186</v>
      </c>
      <c r="H294" s="9">
        <v>500</v>
      </c>
      <c r="I294" s="22" t="s">
        <v>40</v>
      </c>
      <c r="J294" s="13">
        <f t="shared" si="38"/>
        <v>280149</v>
      </c>
      <c r="K294" s="9">
        <v>269</v>
      </c>
      <c r="L294" s="14">
        <v>6850.92</v>
      </c>
      <c r="M294" s="14">
        <v>6850.92</v>
      </c>
      <c r="N294" s="14">
        <v>6879.95</v>
      </c>
      <c r="O294" s="14">
        <f t="shared" si="41"/>
        <v>-29.029999999999745</v>
      </c>
      <c r="P294" s="14">
        <v>50</v>
      </c>
      <c r="Q294" s="21">
        <f t="shared" si="42"/>
        <v>-14.514999999999873</v>
      </c>
      <c r="R294" s="6" t="s">
        <v>371</v>
      </c>
      <c r="S294" s="6" t="s">
        <v>26</v>
      </c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</row>
    <row r="295" spans="1:252" s="24" customFormat="1" ht="20" customHeight="1">
      <c r="A295" s="29">
        <v>285</v>
      </c>
      <c r="B295" s="1">
        <v>0.5</v>
      </c>
      <c r="C295" s="15" t="s">
        <v>31</v>
      </c>
      <c r="D295" s="53" t="s">
        <v>23</v>
      </c>
      <c r="E295" s="16">
        <v>42289</v>
      </c>
      <c r="F295" s="21" t="s">
        <v>578</v>
      </c>
      <c r="G295" s="6" t="s">
        <v>186</v>
      </c>
      <c r="H295" s="9">
        <v>500</v>
      </c>
      <c r="I295" s="22" t="s">
        <v>81</v>
      </c>
      <c r="J295" s="13">
        <f t="shared" si="38"/>
        <v>280649</v>
      </c>
      <c r="K295" s="9">
        <v>105</v>
      </c>
      <c r="L295" s="14">
        <v>2076.5500000000002</v>
      </c>
      <c r="M295" s="14">
        <v>2076.5500000000002</v>
      </c>
      <c r="N295" s="14">
        <v>5335.12</v>
      </c>
      <c r="O295" s="14">
        <f t="shared" si="41"/>
        <v>-3258.5699999999997</v>
      </c>
      <c r="P295" s="14">
        <v>50</v>
      </c>
      <c r="Q295" s="21">
        <f t="shared" si="42"/>
        <v>-1629.2849999999999</v>
      </c>
      <c r="R295" s="6" t="s">
        <v>70</v>
      </c>
      <c r="S295" s="6" t="s">
        <v>26</v>
      </c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</row>
    <row r="296" spans="1:252" s="52" customFormat="1" ht="20" customHeight="1">
      <c r="A296" s="43">
        <v>286</v>
      </c>
      <c r="B296" s="44">
        <v>0.5</v>
      </c>
      <c r="C296" s="45" t="s">
        <v>31</v>
      </c>
      <c r="D296" s="56" t="s">
        <v>32</v>
      </c>
      <c r="E296" s="47">
        <v>42336</v>
      </c>
      <c r="F296" s="48" t="s">
        <v>548</v>
      </c>
      <c r="G296" s="46" t="s">
        <v>305</v>
      </c>
      <c r="H296" s="43">
        <v>105</v>
      </c>
      <c r="I296" s="49">
        <v>15</v>
      </c>
      <c r="J296" s="50">
        <f t="shared" si="38"/>
        <v>280754</v>
      </c>
      <c r="K296" s="43"/>
      <c r="L296" s="51"/>
      <c r="M296" s="51"/>
      <c r="N296" s="51"/>
      <c r="O296" s="51"/>
      <c r="P296" s="51"/>
      <c r="Q296" s="48"/>
      <c r="R296" s="46" t="s">
        <v>496</v>
      </c>
      <c r="S296" s="46" t="s">
        <v>83</v>
      </c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DT296" s="48"/>
      <c r="DU296" s="48"/>
      <c r="DV296" s="48"/>
      <c r="DW296" s="48"/>
      <c r="DX296" s="48"/>
      <c r="DY296" s="48"/>
      <c r="DZ296" s="48"/>
      <c r="EA296" s="48"/>
      <c r="EB296" s="48"/>
      <c r="EC296" s="48"/>
      <c r="ED296" s="48"/>
      <c r="EE296" s="48"/>
      <c r="EF296" s="48"/>
      <c r="EG296" s="48"/>
      <c r="EH296" s="48"/>
      <c r="EI296" s="48"/>
      <c r="EJ296" s="48"/>
      <c r="EK296" s="48"/>
      <c r="EL296" s="48"/>
      <c r="EM296" s="48"/>
      <c r="EN296" s="48"/>
      <c r="EO296" s="48"/>
      <c r="EP296" s="48"/>
      <c r="EQ296" s="48"/>
      <c r="ER296" s="48"/>
      <c r="ES296" s="48"/>
      <c r="ET296" s="48"/>
      <c r="EU296" s="48"/>
      <c r="EV296" s="48"/>
      <c r="EW296" s="48"/>
      <c r="EX296" s="48"/>
      <c r="EY296" s="48"/>
      <c r="EZ296" s="48"/>
      <c r="FA296" s="48"/>
      <c r="FB296" s="48"/>
      <c r="FC296" s="48"/>
      <c r="FD296" s="48"/>
      <c r="FE296" s="48"/>
      <c r="FF296" s="48"/>
      <c r="FG296" s="48"/>
      <c r="FH296" s="48"/>
      <c r="FI296" s="48"/>
      <c r="FJ296" s="48"/>
      <c r="FK296" s="48"/>
      <c r="FL296" s="48"/>
      <c r="FM296" s="48"/>
      <c r="FN296" s="48"/>
      <c r="FO296" s="48"/>
      <c r="FP296" s="48"/>
      <c r="FQ296" s="48"/>
      <c r="FR296" s="48"/>
      <c r="FS296" s="48"/>
      <c r="FT296" s="48"/>
      <c r="FU296" s="48"/>
      <c r="FV296" s="48"/>
      <c r="FW296" s="48"/>
      <c r="FX296" s="48"/>
      <c r="FY296" s="48"/>
      <c r="FZ296" s="48"/>
      <c r="GA296" s="48"/>
      <c r="GB296" s="48"/>
      <c r="GC296" s="48"/>
      <c r="GD296" s="48"/>
      <c r="GE296" s="48"/>
      <c r="GF296" s="48"/>
      <c r="GG296" s="48"/>
      <c r="GH296" s="48"/>
      <c r="GI296" s="48"/>
      <c r="GJ296" s="48"/>
      <c r="GK296" s="48"/>
      <c r="GL296" s="48"/>
      <c r="GM296" s="48"/>
      <c r="GN296" s="48"/>
      <c r="GO296" s="48"/>
      <c r="GP296" s="48"/>
      <c r="GQ296" s="48"/>
      <c r="GR296" s="48"/>
      <c r="GS296" s="48"/>
      <c r="GT296" s="48"/>
      <c r="GU296" s="48"/>
      <c r="GV296" s="48"/>
      <c r="GW296" s="48"/>
      <c r="GX296" s="48"/>
      <c r="GY296" s="48"/>
      <c r="GZ296" s="48"/>
      <c r="HA296" s="48"/>
      <c r="HB296" s="48"/>
      <c r="HC296" s="48"/>
      <c r="HD296" s="48"/>
      <c r="HE296" s="48"/>
      <c r="HF296" s="48"/>
      <c r="HG296" s="48"/>
      <c r="HH296" s="48"/>
      <c r="HI296" s="48"/>
      <c r="HJ296" s="48"/>
      <c r="HK296" s="48"/>
      <c r="HL296" s="48"/>
      <c r="HM296" s="48"/>
      <c r="HN296" s="48"/>
      <c r="HO296" s="48"/>
      <c r="HP296" s="48"/>
      <c r="HQ296" s="48"/>
      <c r="HR296" s="48"/>
      <c r="HS296" s="48"/>
      <c r="HT296" s="48"/>
      <c r="HU296" s="48"/>
      <c r="HV296" s="48"/>
      <c r="HW296" s="48"/>
      <c r="HX296" s="48"/>
      <c r="HY296" s="48"/>
      <c r="HZ296" s="48"/>
      <c r="IA296" s="48"/>
      <c r="IB296" s="48"/>
      <c r="IC296" s="48"/>
      <c r="ID296" s="48"/>
      <c r="IE296" s="48"/>
      <c r="IF296" s="48"/>
      <c r="IG296" s="48"/>
      <c r="IH296" s="48"/>
      <c r="II296" s="48"/>
      <c r="IJ296" s="48"/>
      <c r="IK296" s="48"/>
      <c r="IL296" s="48"/>
      <c r="IM296" s="48"/>
      <c r="IN296" s="48"/>
      <c r="IO296" s="48"/>
      <c r="IP296" s="48"/>
      <c r="IQ296" s="48"/>
      <c r="IR296" s="48"/>
    </row>
    <row r="297" spans="1:252" s="24" customFormat="1" ht="20" customHeight="1">
      <c r="A297" s="29">
        <v>287</v>
      </c>
      <c r="B297" s="1">
        <v>0.5</v>
      </c>
      <c r="C297" s="15" t="s">
        <v>31</v>
      </c>
      <c r="D297" s="53" t="s">
        <v>75</v>
      </c>
      <c r="E297" s="16">
        <v>42326</v>
      </c>
      <c r="F297" s="21" t="s">
        <v>588</v>
      </c>
      <c r="G297" s="6" t="s">
        <v>186</v>
      </c>
      <c r="H297" s="9">
        <v>500</v>
      </c>
      <c r="I297" s="22" t="s">
        <v>81</v>
      </c>
      <c r="J297" s="13">
        <f t="shared" ref="J297:J303" si="43">J296+H297</f>
        <v>281254</v>
      </c>
      <c r="K297" s="9">
        <v>295</v>
      </c>
      <c r="L297" s="14">
        <v>5851.27</v>
      </c>
      <c r="M297" s="14">
        <v>5851.27</v>
      </c>
      <c r="N297" s="14">
        <v>7198.38</v>
      </c>
      <c r="O297" s="14">
        <f>M297-N297</f>
        <v>-1347.1099999999997</v>
      </c>
      <c r="P297" s="14">
        <v>50</v>
      </c>
      <c r="Q297" s="21">
        <f>O297/2</f>
        <v>-673.55499999999984</v>
      </c>
      <c r="R297" s="6" t="s">
        <v>487</v>
      </c>
      <c r="S297" s="6" t="s">
        <v>485</v>
      </c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</row>
    <row r="298" spans="1:252" s="24" customFormat="1" ht="20" customHeight="1">
      <c r="A298" s="29">
        <v>288</v>
      </c>
      <c r="B298" s="1">
        <v>0.33</v>
      </c>
      <c r="C298" s="15" t="s">
        <v>199</v>
      </c>
      <c r="D298" s="53" t="s">
        <v>32</v>
      </c>
      <c r="E298" s="16">
        <v>42292</v>
      </c>
      <c r="F298" s="21" t="s">
        <v>586</v>
      </c>
      <c r="G298" s="6" t="s">
        <v>186</v>
      </c>
      <c r="H298" s="9">
        <v>450</v>
      </c>
      <c r="I298" s="22" t="s">
        <v>57</v>
      </c>
      <c r="J298" s="13">
        <f t="shared" si="43"/>
        <v>281704</v>
      </c>
      <c r="K298" s="9">
        <v>187</v>
      </c>
      <c r="L298" s="14">
        <v>2653.67</v>
      </c>
      <c r="M298" s="14">
        <v>2653.67</v>
      </c>
      <c r="N298" s="14">
        <v>3928.42</v>
      </c>
      <c r="O298" s="14">
        <f>M298-N298</f>
        <v>-1274.75</v>
      </c>
      <c r="P298" s="14">
        <v>33</v>
      </c>
      <c r="Q298" s="21">
        <f>O298/3</f>
        <v>-424.91666666666669</v>
      </c>
      <c r="R298" s="6" t="s">
        <v>549</v>
      </c>
      <c r="S298" s="6" t="s">
        <v>83</v>
      </c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</row>
    <row r="299" spans="1:252" s="24" customFormat="1" ht="20" customHeight="1">
      <c r="A299" s="29">
        <v>289</v>
      </c>
      <c r="B299" s="1">
        <v>0.5</v>
      </c>
      <c r="C299" s="15" t="s">
        <v>31</v>
      </c>
      <c r="D299" s="53" t="s">
        <v>32</v>
      </c>
      <c r="E299" s="16">
        <v>42315</v>
      </c>
      <c r="F299" s="21" t="s">
        <v>550</v>
      </c>
      <c r="G299" s="6" t="s">
        <v>186</v>
      </c>
      <c r="H299" s="9">
        <v>500</v>
      </c>
      <c r="I299" s="22" t="s">
        <v>551</v>
      </c>
      <c r="J299" s="13">
        <f t="shared" si="43"/>
        <v>282204</v>
      </c>
      <c r="K299" s="9">
        <v>501</v>
      </c>
      <c r="L299" s="14">
        <v>12394.23</v>
      </c>
      <c r="M299" s="14">
        <v>12394.23</v>
      </c>
      <c r="N299" s="14">
        <v>11148.06</v>
      </c>
      <c r="O299" s="14">
        <f>M299-N299</f>
        <v>1246.17</v>
      </c>
      <c r="P299" s="14">
        <v>50</v>
      </c>
      <c r="Q299" s="21">
        <f>O299/2</f>
        <v>623.08500000000004</v>
      </c>
      <c r="R299" s="6" t="s">
        <v>430</v>
      </c>
      <c r="S299" s="6" t="s">
        <v>485</v>
      </c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</row>
    <row r="300" spans="1:252" s="24" customFormat="1" ht="20" customHeight="1">
      <c r="A300" s="29">
        <v>290</v>
      </c>
      <c r="B300" s="1">
        <v>0.5</v>
      </c>
      <c r="C300" s="15" t="s">
        <v>31</v>
      </c>
      <c r="D300" s="53" t="s">
        <v>27</v>
      </c>
      <c r="E300" s="16">
        <v>42299</v>
      </c>
      <c r="F300" s="21" t="s">
        <v>589</v>
      </c>
      <c r="G300" s="6" t="s">
        <v>186</v>
      </c>
      <c r="H300" s="9">
        <v>500</v>
      </c>
      <c r="I300" s="22" t="s">
        <v>38</v>
      </c>
      <c r="J300" s="13">
        <f t="shared" si="43"/>
        <v>282704</v>
      </c>
      <c r="K300" s="9">
        <v>197</v>
      </c>
      <c r="L300" s="14">
        <v>3131.73</v>
      </c>
      <c r="M300" s="14">
        <v>3131.73</v>
      </c>
      <c r="N300" s="14">
        <v>6028.6</v>
      </c>
      <c r="O300" s="14">
        <f>M300-N300</f>
        <v>-2896.8700000000003</v>
      </c>
      <c r="P300" s="14">
        <v>50</v>
      </c>
      <c r="Q300" s="21">
        <f>O300/2</f>
        <v>-1448.4350000000002</v>
      </c>
      <c r="R300" s="6" t="s">
        <v>170</v>
      </c>
      <c r="S300" s="6" t="s">
        <v>83</v>
      </c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</row>
    <row r="301" spans="1:252" s="52" customFormat="1" ht="20" customHeight="1">
      <c r="A301" s="43">
        <v>291</v>
      </c>
      <c r="B301" s="44">
        <v>0.5</v>
      </c>
      <c r="C301" s="45" t="s">
        <v>31</v>
      </c>
      <c r="D301" s="56" t="s">
        <v>27</v>
      </c>
      <c r="E301" s="47">
        <v>42278</v>
      </c>
      <c r="F301" s="48" t="s">
        <v>553</v>
      </c>
      <c r="G301" s="46" t="s">
        <v>509</v>
      </c>
      <c r="H301" s="43">
        <v>400</v>
      </c>
      <c r="I301" s="49" t="s">
        <v>57</v>
      </c>
      <c r="J301" s="50">
        <f t="shared" si="43"/>
        <v>283104</v>
      </c>
      <c r="K301" s="43"/>
      <c r="L301" s="51"/>
      <c r="M301" s="51"/>
      <c r="N301" s="51"/>
      <c r="O301" s="51"/>
      <c r="P301" s="51"/>
      <c r="Q301" s="48"/>
      <c r="R301" s="46" t="s">
        <v>70</v>
      </c>
      <c r="S301" s="46" t="s">
        <v>485</v>
      </c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  <c r="DL301" s="48"/>
      <c r="DM301" s="48"/>
      <c r="DN301" s="48"/>
      <c r="DO301" s="48"/>
      <c r="DP301" s="48"/>
      <c r="DQ301" s="48"/>
      <c r="DR301" s="48"/>
      <c r="DS301" s="48"/>
      <c r="DT301" s="48"/>
      <c r="DU301" s="48"/>
      <c r="DV301" s="48"/>
      <c r="DW301" s="48"/>
      <c r="DX301" s="48"/>
      <c r="DY301" s="48"/>
      <c r="DZ301" s="48"/>
      <c r="EA301" s="48"/>
      <c r="EB301" s="48"/>
      <c r="EC301" s="48"/>
      <c r="ED301" s="48"/>
      <c r="EE301" s="48"/>
      <c r="EF301" s="48"/>
      <c r="EG301" s="48"/>
      <c r="EH301" s="48"/>
      <c r="EI301" s="48"/>
      <c r="EJ301" s="48"/>
      <c r="EK301" s="48"/>
      <c r="EL301" s="48"/>
      <c r="EM301" s="48"/>
      <c r="EN301" s="48"/>
      <c r="EO301" s="48"/>
      <c r="EP301" s="48"/>
      <c r="EQ301" s="48"/>
      <c r="ER301" s="48"/>
      <c r="ES301" s="48"/>
      <c r="ET301" s="48"/>
      <c r="EU301" s="48"/>
      <c r="EV301" s="48"/>
      <c r="EW301" s="48"/>
      <c r="EX301" s="48"/>
      <c r="EY301" s="48"/>
      <c r="EZ301" s="48"/>
      <c r="FA301" s="48"/>
      <c r="FB301" s="48"/>
      <c r="FC301" s="48"/>
      <c r="FD301" s="48"/>
      <c r="FE301" s="48"/>
      <c r="FF301" s="48"/>
      <c r="FG301" s="48"/>
      <c r="FH301" s="48"/>
      <c r="FI301" s="48"/>
      <c r="FJ301" s="48"/>
      <c r="FK301" s="48"/>
      <c r="FL301" s="48"/>
      <c r="FM301" s="48"/>
      <c r="FN301" s="48"/>
      <c r="FO301" s="48"/>
      <c r="FP301" s="48"/>
      <c r="FQ301" s="48"/>
      <c r="FR301" s="48"/>
      <c r="FS301" s="48"/>
      <c r="FT301" s="48"/>
      <c r="FU301" s="48"/>
      <c r="FV301" s="48"/>
      <c r="FW301" s="48"/>
      <c r="FX301" s="48"/>
      <c r="FY301" s="48"/>
      <c r="FZ301" s="48"/>
      <c r="GA301" s="48"/>
      <c r="GB301" s="48"/>
      <c r="GC301" s="48"/>
      <c r="GD301" s="48"/>
      <c r="GE301" s="48"/>
      <c r="GF301" s="48"/>
      <c r="GG301" s="48"/>
      <c r="GH301" s="48"/>
      <c r="GI301" s="48"/>
      <c r="GJ301" s="48"/>
      <c r="GK301" s="48"/>
      <c r="GL301" s="48"/>
      <c r="GM301" s="48"/>
      <c r="GN301" s="48"/>
      <c r="GO301" s="48"/>
      <c r="GP301" s="48"/>
      <c r="GQ301" s="48"/>
      <c r="GR301" s="48"/>
      <c r="GS301" s="48"/>
      <c r="GT301" s="48"/>
      <c r="GU301" s="48"/>
      <c r="GV301" s="48"/>
      <c r="GW301" s="48"/>
      <c r="GX301" s="48"/>
      <c r="GY301" s="48"/>
      <c r="GZ301" s="48"/>
      <c r="HA301" s="48"/>
      <c r="HB301" s="48"/>
      <c r="HC301" s="48"/>
      <c r="HD301" s="48"/>
      <c r="HE301" s="48"/>
      <c r="HF301" s="48"/>
      <c r="HG301" s="48"/>
      <c r="HH301" s="48"/>
      <c r="HI301" s="48"/>
      <c r="HJ301" s="48"/>
      <c r="HK301" s="48"/>
      <c r="HL301" s="48"/>
      <c r="HM301" s="48"/>
      <c r="HN301" s="48"/>
      <c r="HO301" s="48"/>
      <c r="HP301" s="48"/>
      <c r="HQ301" s="48"/>
      <c r="HR301" s="48"/>
      <c r="HS301" s="48"/>
      <c r="HT301" s="48"/>
      <c r="HU301" s="48"/>
      <c r="HV301" s="48"/>
      <c r="HW301" s="48"/>
      <c r="HX301" s="48"/>
      <c r="HY301" s="48"/>
      <c r="HZ301" s="48"/>
      <c r="IA301" s="48"/>
      <c r="IB301" s="48"/>
      <c r="IC301" s="48"/>
      <c r="ID301" s="48"/>
      <c r="IE301" s="48"/>
      <c r="IF301" s="48"/>
      <c r="IG301" s="48"/>
      <c r="IH301" s="48"/>
      <c r="II301" s="48"/>
      <c r="IJ301" s="48"/>
      <c r="IK301" s="48"/>
      <c r="IL301" s="48"/>
      <c r="IM301" s="48"/>
      <c r="IN301" s="48"/>
      <c r="IO301" s="48"/>
      <c r="IP301" s="48"/>
      <c r="IQ301" s="48"/>
      <c r="IR301" s="48"/>
    </row>
    <row r="302" spans="1:252" s="24" customFormat="1" ht="20" customHeight="1">
      <c r="A302" s="29">
        <v>292</v>
      </c>
      <c r="B302" s="1" t="s">
        <v>563</v>
      </c>
      <c r="C302" s="15" t="s">
        <v>564</v>
      </c>
      <c r="D302" s="53" t="s">
        <v>32</v>
      </c>
      <c r="E302" s="16">
        <v>42329</v>
      </c>
      <c r="F302" s="21" t="s">
        <v>565</v>
      </c>
      <c r="G302" s="6" t="s">
        <v>24</v>
      </c>
      <c r="H302" s="9">
        <v>2200</v>
      </c>
      <c r="I302" s="22" t="s">
        <v>566</v>
      </c>
      <c r="J302" s="13">
        <f t="shared" si="43"/>
        <v>285304</v>
      </c>
      <c r="K302" s="9">
        <v>2200</v>
      </c>
      <c r="L302" s="14">
        <v>49749.95</v>
      </c>
      <c r="M302" s="14"/>
      <c r="N302" s="14"/>
      <c r="O302" s="14"/>
      <c r="P302" s="14">
        <v>8.5</v>
      </c>
      <c r="Q302" s="21">
        <v>374.26</v>
      </c>
      <c r="R302" s="6" t="s">
        <v>347</v>
      </c>
      <c r="S302" s="6" t="s">
        <v>83</v>
      </c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</row>
    <row r="303" spans="1:252" s="24" customFormat="1" ht="20" customHeight="1">
      <c r="A303" s="29">
        <v>293</v>
      </c>
      <c r="B303" s="1">
        <v>0.5</v>
      </c>
      <c r="C303" s="15" t="s">
        <v>31</v>
      </c>
      <c r="D303" s="53" t="s">
        <v>21</v>
      </c>
      <c r="E303" s="16">
        <v>42304</v>
      </c>
      <c r="F303" s="21" t="s">
        <v>599</v>
      </c>
      <c r="G303" s="6" t="s">
        <v>33</v>
      </c>
      <c r="H303" s="9">
        <v>150</v>
      </c>
      <c r="I303" s="22">
        <v>10</v>
      </c>
      <c r="J303" s="13">
        <f t="shared" si="43"/>
        <v>285454</v>
      </c>
      <c r="K303" s="9">
        <v>57</v>
      </c>
      <c r="L303" s="14">
        <v>495.9</v>
      </c>
      <c r="M303" s="14">
        <v>495.9</v>
      </c>
      <c r="N303" s="14">
        <v>1206.69</v>
      </c>
      <c r="O303" s="14">
        <f>M303-N303</f>
        <v>-710.79000000000008</v>
      </c>
      <c r="P303" s="14">
        <v>50</v>
      </c>
      <c r="Q303" s="21">
        <f>O303/2</f>
        <v>-355.39500000000004</v>
      </c>
      <c r="R303" s="6" t="s">
        <v>144</v>
      </c>
      <c r="S303" s="6" t="s">
        <v>26</v>
      </c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</row>
    <row r="304" spans="1:252" s="24" customFormat="1" ht="20" customHeight="1">
      <c r="A304" s="29">
        <v>294</v>
      </c>
      <c r="B304" s="1">
        <v>0.33</v>
      </c>
      <c r="C304" s="15" t="s">
        <v>568</v>
      </c>
      <c r="D304" s="53" t="s">
        <v>567</v>
      </c>
      <c r="E304" s="16">
        <v>42293</v>
      </c>
      <c r="F304" s="21" t="s">
        <v>618</v>
      </c>
      <c r="G304" s="6" t="s">
        <v>530</v>
      </c>
      <c r="H304" s="9">
        <v>200</v>
      </c>
      <c r="I304" s="22" t="s">
        <v>531</v>
      </c>
      <c r="J304" s="13">
        <f t="shared" ref="J304:J328" si="44">J303+H304</f>
        <v>285654</v>
      </c>
      <c r="K304" s="9">
        <v>138</v>
      </c>
      <c r="L304" s="14">
        <v>2162.91</v>
      </c>
      <c r="M304" s="14">
        <v>2162.91</v>
      </c>
      <c r="N304" s="14">
        <v>3543.86</v>
      </c>
      <c r="O304" s="14">
        <f>M304-N304</f>
        <v>-1380.9500000000003</v>
      </c>
      <c r="P304" s="14">
        <v>50</v>
      </c>
      <c r="Q304" s="21">
        <f>O304/2</f>
        <v>-690.47500000000014</v>
      </c>
      <c r="R304" s="6" t="s">
        <v>127</v>
      </c>
      <c r="S304" s="6" t="s">
        <v>235</v>
      </c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</row>
    <row r="305" spans="1:252" s="24" customFormat="1" ht="20" customHeight="1">
      <c r="A305" s="29">
        <v>295</v>
      </c>
      <c r="B305" s="1">
        <v>0.25</v>
      </c>
      <c r="C305" s="15" t="s">
        <v>569</v>
      </c>
      <c r="D305" s="30">
        <f>E305</f>
        <v>42339</v>
      </c>
      <c r="E305" s="16">
        <v>42339</v>
      </c>
      <c r="F305" s="21" t="s">
        <v>570</v>
      </c>
      <c r="G305" s="6" t="s">
        <v>324</v>
      </c>
      <c r="H305" s="9">
        <v>275</v>
      </c>
      <c r="I305" s="22">
        <v>15</v>
      </c>
      <c r="J305" s="13">
        <f t="shared" si="44"/>
        <v>285929</v>
      </c>
      <c r="K305" s="9">
        <v>275</v>
      </c>
      <c r="L305" s="14">
        <v>3587.73</v>
      </c>
      <c r="M305" s="14">
        <v>3587.73</v>
      </c>
      <c r="N305" s="14">
        <v>3050.91</v>
      </c>
      <c r="O305" s="14">
        <f>M305-N305</f>
        <v>536.82000000000016</v>
      </c>
      <c r="P305" s="59">
        <v>0.25</v>
      </c>
      <c r="Q305" s="21">
        <f>P305*O305</f>
        <v>134.20500000000004</v>
      </c>
      <c r="R305" s="6"/>
      <c r="S305" s="6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</row>
    <row r="306" spans="1:252" s="24" customFormat="1" ht="20" customHeight="1">
      <c r="A306" s="29">
        <v>296</v>
      </c>
      <c r="B306" s="1">
        <v>0.5</v>
      </c>
      <c r="C306" s="15" t="s">
        <v>31</v>
      </c>
      <c r="D306" s="30" t="s">
        <v>23</v>
      </c>
      <c r="E306" s="16">
        <v>42282</v>
      </c>
      <c r="F306" s="21" t="s">
        <v>572</v>
      </c>
      <c r="G306" s="6" t="s">
        <v>33</v>
      </c>
      <c r="H306" s="9">
        <v>150</v>
      </c>
      <c r="I306" s="22" t="s">
        <v>126</v>
      </c>
      <c r="J306" s="13">
        <f t="shared" si="44"/>
        <v>286079</v>
      </c>
      <c r="K306" s="9">
        <v>80</v>
      </c>
      <c r="L306" s="14">
        <v>800.4</v>
      </c>
      <c r="M306" s="14">
        <v>800.4</v>
      </c>
      <c r="N306" s="14">
        <v>979.58</v>
      </c>
      <c r="O306" s="14">
        <f t="shared" ref="O306:O311" si="45">M306-N306</f>
        <v>-179.18000000000006</v>
      </c>
      <c r="P306" s="14">
        <v>50</v>
      </c>
      <c r="Q306" s="21">
        <f>O306/2</f>
        <v>-89.590000000000032</v>
      </c>
      <c r="R306" s="6" t="s">
        <v>525</v>
      </c>
      <c r="S306" s="6" t="s">
        <v>26</v>
      </c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  <c r="IR306" s="21"/>
    </row>
    <row r="307" spans="1:252" s="24" customFormat="1" ht="20" customHeight="1">
      <c r="A307" s="29">
        <v>297</v>
      </c>
      <c r="B307" s="1">
        <v>0.5</v>
      </c>
      <c r="C307" s="15" t="s">
        <v>31</v>
      </c>
      <c r="D307" s="30" t="s">
        <v>32</v>
      </c>
      <c r="E307" s="16">
        <v>42336</v>
      </c>
      <c r="F307" s="21" t="s">
        <v>616</v>
      </c>
      <c r="G307" s="6" t="s">
        <v>186</v>
      </c>
      <c r="H307" s="9">
        <v>500</v>
      </c>
      <c r="I307" s="22" t="s">
        <v>34</v>
      </c>
      <c r="J307" s="13">
        <f t="shared" si="44"/>
        <v>286579</v>
      </c>
      <c r="K307" s="9">
        <v>260</v>
      </c>
      <c r="L307" s="14">
        <v>4022.3</v>
      </c>
      <c r="M307" s="14">
        <v>4022.3</v>
      </c>
      <c r="N307" s="14">
        <v>4975.84</v>
      </c>
      <c r="O307" s="14">
        <f t="shared" si="45"/>
        <v>-953.54</v>
      </c>
      <c r="P307" s="14">
        <v>50</v>
      </c>
      <c r="Q307" s="21">
        <f>O307/2</f>
        <v>-476.77</v>
      </c>
      <c r="R307" s="6" t="s">
        <v>347</v>
      </c>
      <c r="S307" s="6" t="s">
        <v>26</v>
      </c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</row>
    <row r="308" spans="1:252" s="24" customFormat="1" ht="20" customHeight="1">
      <c r="A308" s="29">
        <v>298</v>
      </c>
      <c r="B308" s="1">
        <v>0.5</v>
      </c>
      <c r="C308" s="15" t="s">
        <v>31</v>
      </c>
      <c r="D308" s="30" t="s">
        <v>75</v>
      </c>
      <c r="E308" s="16">
        <v>42333</v>
      </c>
      <c r="F308" s="21" t="s">
        <v>573</v>
      </c>
      <c r="G308" s="6" t="s">
        <v>85</v>
      </c>
      <c r="H308" s="9">
        <v>300</v>
      </c>
      <c r="I308" s="22" t="s">
        <v>86</v>
      </c>
      <c r="J308" s="13">
        <f t="shared" si="44"/>
        <v>286879</v>
      </c>
      <c r="K308" s="9">
        <v>133</v>
      </c>
      <c r="L308" s="14">
        <v>1560.65</v>
      </c>
      <c r="M308" s="14">
        <v>1560.65</v>
      </c>
      <c r="N308" s="14">
        <v>2087.64</v>
      </c>
      <c r="O308" s="14">
        <f t="shared" si="45"/>
        <v>-526.98999999999978</v>
      </c>
      <c r="P308" s="14">
        <v>50</v>
      </c>
      <c r="Q308" s="21">
        <f>O308/2</f>
        <v>-263.49499999999989</v>
      </c>
      <c r="R308" s="6" t="s">
        <v>346</v>
      </c>
      <c r="S308" s="6" t="s">
        <v>574</v>
      </c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</row>
    <row r="309" spans="1:252" s="24" customFormat="1" ht="20" customHeight="1">
      <c r="A309" s="29">
        <v>299</v>
      </c>
      <c r="B309" s="1">
        <v>0.5</v>
      </c>
      <c r="C309" s="15" t="s">
        <v>31</v>
      </c>
      <c r="D309" s="30" t="s">
        <v>32</v>
      </c>
      <c r="E309" s="16">
        <v>42287</v>
      </c>
      <c r="F309" s="21" t="s">
        <v>601</v>
      </c>
      <c r="G309" s="6" t="s">
        <v>150</v>
      </c>
      <c r="H309" s="9">
        <v>120</v>
      </c>
      <c r="I309" s="22">
        <v>12</v>
      </c>
      <c r="J309" s="13">
        <f t="shared" si="44"/>
        <v>286999</v>
      </c>
      <c r="K309" s="9">
        <v>21</v>
      </c>
      <c r="L309" s="14">
        <v>219.24</v>
      </c>
      <c r="M309" s="14">
        <v>219.24</v>
      </c>
      <c r="N309" s="14">
        <v>615.25</v>
      </c>
      <c r="O309" s="14">
        <f t="shared" si="45"/>
        <v>-396.01</v>
      </c>
      <c r="P309" s="14">
        <v>50</v>
      </c>
      <c r="Q309" s="21">
        <f>O309/2</f>
        <v>-198.005</v>
      </c>
      <c r="R309" s="6" t="s">
        <v>346</v>
      </c>
      <c r="S309" s="6" t="s">
        <v>26</v>
      </c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</row>
    <row r="310" spans="1:252" s="24" customFormat="1" ht="20" customHeight="1">
      <c r="A310" s="29">
        <v>300</v>
      </c>
      <c r="B310" s="1">
        <v>0.5</v>
      </c>
      <c r="C310" s="15" t="s">
        <v>31</v>
      </c>
      <c r="D310" s="30" t="s">
        <v>21</v>
      </c>
      <c r="E310" s="16">
        <v>42290</v>
      </c>
      <c r="F310" s="21" t="s">
        <v>606</v>
      </c>
      <c r="G310" s="6" t="s">
        <v>56</v>
      </c>
      <c r="H310" s="9">
        <v>300</v>
      </c>
      <c r="I310" s="22" t="s">
        <v>111</v>
      </c>
      <c r="J310" s="13">
        <f t="shared" si="44"/>
        <v>287299</v>
      </c>
      <c r="K310" s="9">
        <v>199</v>
      </c>
      <c r="L310" s="14">
        <v>2643.93</v>
      </c>
      <c r="M310" s="14">
        <v>2643.93</v>
      </c>
      <c r="N310" s="14">
        <v>3028.5</v>
      </c>
      <c r="O310" s="14">
        <f t="shared" si="45"/>
        <v>-384.57000000000016</v>
      </c>
      <c r="P310" s="14">
        <v>50</v>
      </c>
      <c r="Q310" s="21">
        <f>O310/2</f>
        <v>-192.28500000000008</v>
      </c>
      <c r="R310" s="6" t="s">
        <v>170</v>
      </c>
      <c r="S310" s="6" t="s">
        <v>26</v>
      </c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</row>
    <row r="311" spans="1:252" s="24" customFormat="1" ht="20" customHeight="1">
      <c r="A311" s="29">
        <v>301</v>
      </c>
      <c r="B311" s="1">
        <v>0.33</v>
      </c>
      <c r="C311" s="15" t="s">
        <v>584</v>
      </c>
      <c r="D311" s="30" t="s">
        <v>23</v>
      </c>
      <c r="E311" s="16">
        <v>42297</v>
      </c>
      <c r="F311" s="21" t="s">
        <v>583</v>
      </c>
      <c r="G311" s="6" t="s">
        <v>56</v>
      </c>
      <c r="H311" s="9">
        <v>300</v>
      </c>
      <c r="I311" s="22">
        <v>20</v>
      </c>
      <c r="J311" s="13">
        <f t="shared" si="44"/>
        <v>287599</v>
      </c>
      <c r="K311" s="9">
        <v>305</v>
      </c>
      <c r="L311" s="14">
        <v>5303.95</v>
      </c>
      <c r="M311" s="14">
        <v>5303.95</v>
      </c>
      <c r="N311" s="14">
        <v>4631.8900000000003</v>
      </c>
      <c r="O311" s="14">
        <f t="shared" si="45"/>
        <v>672.05999999999949</v>
      </c>
      <c r="P311" s="14">
        <v>33</v>
      </c>
      <c r="Q311" s="21">
        <f>O311/3</f>
        <v>224.01999999999984</v>
      </c>
      <c r="R311" s="6" t="s">
        <v>70</v>
      </c>
      <c r="S311" s="6" t="s">
        <v>26</v>
      </c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</row>
    <row r="312" spans="1:252" s="24" customFormat="1" ht="20" customHeight="1">
      <c r="A312" s="29">
        <v>302</v>
      </c>
      <c r="B312" s="1">
        <v>0.5</v>
      </c>
      <c r="C312" s="15" t="s">
        <v>31</v>
      </c>
      <c r="D312" s="30" t="s">
        <v>32</v>
      </c>
      <c r="E312" s="16">
        <v>42343</v>
      </c>
      <c r="F312" s="21" t="s">
        <v>647</v>
      </c>
      <c r="G312" s="6" t="s">
        <v>142</v>
      </c>
      <c r="H312" s="9">
        <v>450</v>
      </c>
      <c r="I312" s="22">
        <v>20</v>
      </c>
      <c r="J312" s="13">
        <f t="shared" si="44"/>
        <v>288049</v>
      </c>
      <c r="K312" s="9">
        <v>450</v>
      </c>
      <c r="L312" s="14">
        <v>7825.5</v>
      </c>
      <c r="M312" s="14">
        <v>7825.5</v>
      </c>
      <c r="N312" s="14">
        <v>6591.19</v>
      </c>
      <c r="O312" s="14">
        <v>1025.52</v>
      </c>
      <c r="P312" s="14">
        <v>50</v>
      </c>
      <c r="Q312" s="21">
        <f>O312/2</f>
        <v>512.76</v>
      </c>
      <c r="R312" s="6" t="s">
        <v>347</v>
      </c>
      <c r="S312" s="6" t="s">
        <v>26</v>
      </c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</row>
    <row r="313" spans="1:252" s="24" customFormat="1" ht="20" customHeight="1">
      <c r="A313" s="29">
        <v>303</v>
      </c>
      <c r="B313" s="1">
        <v>0.5</v>
      </c>
      <c r="C313" s="15" t="s">
        <v>31</v>
      </c>
      <c r="D313" s="53" t="s">
        <v>22</v>
      </c>
      <c r="E313" s="16">
        <v>42328</v>
      </c>
      <c r="F313" s="21" t="s">
        <v>610</v>
      </c>
      <c r="G313" s="6" t="s">
        <v>33</v>
      </c>
      <c r="H313" s="9">
        <v>150</v>
      </c>
      <c r="I313" s="22">
        <v>13</v>
      </c>
      <c r="J313" s="13">
        <f t="shared" si="44"/>
        <v>288199</v>
      </c>
      <c r="K313" s="9">
        <v>177</v>
      </c>
      <c r="L313" s="14">
        <v>2000.1</v>
      </c>
      <c r="M313" s="14">
        <v>2000.1</v>
      </c>
      <c r="N313" s="14">
        <v>1066.98</v>
      </c>
      <c r="O313" s="14">
        <f>M313-N313</f>
        <v>933.11999999999989</v>
      </c>
      <c r="P313" s="14">
        <v>50</v>
      </c>
      <c r="Q313" s="21">
        <f>O313/2</f>
        <v>466.55999999999995</v>
      </c>
      <c r="R313" s="6" t="s">
        <v>611</v>
      </c>
      <c r="S313" s="6" t="s">
        <v>574</v>
      </c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</row>
    <row r="314" spans="1:252" s="24" customFormat="1" ht="20" customHeight="1">
      <c r="A314" s="29">
        <v>304</v>
      </c>
      <c r="B314" s="1">
        <v>0.5</v>
      </c>
      <c r="C314" s="15" t="s">
        <v>31</v>
      </c>
      <c r="D314" s="30" t="s">
        <v>32</v>
      </c>
      <c r="E314" s="16">
        <v>42336</v>
      </c>
      <c r="F314" s="21" t="s">
        <v>591</v>
      </c>
      <c r="G314" s="6" t="s">
        <v>330</v>
      </c>
      <c r="H314" s="9">
        <v>280</v>
      </c>
      <c r="I314" s="22" t="s">
        <v>592</v>
      </c>
      <c r="J314" s="13">
        <f t="shared" si="44"/>
        <v>288479</v>
      </c>
      <c r="K314" s="9">
        <v>234</v>
      </c>
      <c r="L314" s="14">
        <v>1496.4</v>
      </c>
      <c r="M314" s="14">
        <v>1496.4</v>
      </c>
      <c r="N314" s="14">
        <v>2125.0700000000002</v>
      </c>
      <c r="O314" s="14">
        <f>M314-N314</f>
        <v>-628.67000000000007</v>
      </c>
      <c r="P314" s="14">
        <v>0.5</v>
      </c>
      <c r="Q314" s="21">
        <f>O314/2</f>
        <v>-314.33500000000004</v>
      </c>
      <c r="R314" s="6" t="s">
        <v>127</v>
      </c>
      <c r="S314" s="6" t="s">
        <v>83</v>
      </c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</row>
    <row r="315" spans="1:252" s="52" customFormat="1" ht="20" customHeight="1">
      <c r="A315" s="43">
        <v>305</v>
      </c>
      <c r="B315" s="44">
        <v>0.5</v>
      </c>
      <c r="C315" s="45" t="s">
        <v>20</v>
      </c>
      <c r="D315" s="58" t="s">
        <v>21</v>
      </c>
      <c r="E315" s="47">
        <v>42346</v>
      </c>
      <c r="F315" s="48" t="s">
        <v>651</v>
      </c>
      <c r="G315" s="46" t="s">
        <v>24</v>
      </c>
      <c r="H315" s="43">
        <v>2200</v>
      </c>
      <c r="I315" s="49" t="s">
        <v>154</v>
      </c>
      <c r="J315" s="50">
        <f t="shared" si="44"/>
        <v>290679</v>
      </c>
      <c r="K315" s="43"/>
      <c r="L315" s="51"/>
      <c r="M315" s="51"/>
      <c r="N315" s="51"/>
      <c r="O315" s="51"/>
      <c r="P315" s="51"/>
      <c r="Q315" s="48"/>
      <c r="R315" s="46" t="s">
        <v>347</v>
      </c>
      <c r="S315" s="46" t="s">
        <v>26</v>
      </c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  <c r="DL315" s="48"/>
      <c r="DM315" s="48"/>
      <c r="DN315" s="48"/>
      <c r="DO315" s="48"/>
      <c r="DP315" s="48"/>
      <c r="DQ315" s="48"/>
      <c r="DR315" s="48"/>
      <c r="DS315" s="48"/>
      <c r="DT315" s="48"/>
      <c r="DU315" s="48"/>
      <c r="DV315" s="48"/>
      <c r="DW315" s="48"/>
      <c r="DX315" s="48"/>
      <c r="DY315" s="48"/>
      <c r="DZ315" s="48"/>
      <c r="EA315" s="48"/>
      <c r="EB315" s="48"/>
      <c r="EC315" s="48"/>
      <c r="ED315" s="48"/>
      <c r="EE315" s="48"/>
      <c r="EF315" s="48"/>
      <c r="EG315" s="48"/>
      <c r="EH315" s="48"/>
      <c r="EI315" s="48"/>
      <c r="EJ315" s="48"/>
      <c r="EK315" s="48"/>
      <c r="EL315" s="48"/>
      <c r="EM315" s="48"/>
      <c r="EN315" s="48"/>
      <c r="EO315" s="48"/>
      <c r="EP315" s="48"/>
      <c r="EQ315" s="48"/>
      <c r="ER315" s="48"/>
      <c r="ES315" s="48"/>
      <c r="ET315" s="48"/>
      <c r="EU315" s="48"/>
      <c r="EV315" s="48"/>
      <c r="EW315" s="48"/>
      <c r="EX315" s="48"/>
      <c r="EY315" s="48"/>
      <c r="EZ315" s="48"/>
      <c r="FA315" s="48"/>
      <c r="FB315" s="48"/>
      <c r="FC315" s="48"/>
      <c r="FD315" s="48"/>
      <c r="FE315" s="48"/>
      <c r="FF315" s="48"/>
      <c r="FG315" s="48"/>
      <c r="FH315" s="48"/>
      <c r="FI315" s="48"/>
      <c r="FJ315" s="48"/>
      <c r="FK315" s="48"/>
      <c r="FL315" s="48"/>
      <c r="FM315" s="48"/>
      <c r="FN315" s="48"/>
      <c r="FO315" s="48"/>
      <c r="FP315" s="48"/>
      <c r="FQ315" s="48"/>
      <c r="FR315" s="48"/>
      <c r="FS315" s="48"/>
      <c r="FT315" s="48"/>
      <c r="FU315" s="48"/>
      <c r="FV315" s="48"/>
      <c r="FW315" s="48"/>
      <c r="FX315" s="48"/>
      <c r="FY315" s="48"/>
      <c r="FZ315" s="48"/>
      <c r="GA315" s="48"/>
      <c r="GB315" s="48"/>
      <c r="GC315" s="48"/>
      <c r="GD315" s="48"/>
      <c r="GE315" s="48"/>
      <c r="GF315" s="48"/>
      <c r="GG315" s="48"/>
      <c r="GH315" s="48"/>
      <c r="GI315" s="48"/>
      <c r="GJ315" s="48"/>
      <c r="GK315" s="48"/>
      <c r="GL315" s="48"/>
      <c r="GM315" s="48"/>
      <c r="GN315" s="48"/>
      <c r="GO315" s="48"/>
      <c r="GP315" s="48"/>
      <c r="GQ315" s="48"/>
      <c r="GR315" s="48"/>
      <c r="GS315" s="48"/>
      <c r="GT315" s="48"/>
      <c r="GU315" s="48"/>
      <c r="GV315" s="48"/>
      <c r="GW315" s="48"/>
      <c r="GX315" s="48"/>
      <c r="GY315" s="48"/>
      <c r="GZ315" s="48"/>
      <c r="HA315" s="48"/>
      <c r="HB315" s="48"/>
      <c r="HC315" s="48"/>
      <c r="HD315" s="48"/>
      <c r="HE315" s="48"/>
      <c r="HF315" s="48"/>
      <c r="HG315" s="48"/>
      <c r="HH315" s="48"/>
      <c r="HI315" s="48"/>
      <c r="HJ315" s="48"/>
      <c r="HK315" s="48"/>
      <c r="HL315" s="48"/>
      <c r="HM315" s="48"/>
      <c r="HN315" s="48"/>
      <c r="HO315" s="48"/>
      <c r="HP315" s="48"/>
      <c r="HQ315" s="48"/>
      <c r="HR315" s="48"/>
      <c r="HS315" s="48"/>
      <c r="HT315" s="48"/>
      <c r="HU315" s="48"/>
      <c r="HV315" s="48"/>
      <c r="HW315" s="48"/>
      <c r="HX315" s="48"/>
      <c r="HY315" s="48"/>
      <c r="HZ315" s="48"/>
      <c r="IA315" s="48"/>
      <c r="IB315" s="48"/>
      <c r="IC315" s="48"/>
      <c r="ID315" s="48"/>
      <c r="IE315" s="48"/>
      <c r="IF315" s="48"/>
      <c r="IG315" s="48"/>
      <c r="IH315" s="48"/>
      <c r="II315" s="48"/>
      <c r="IJ315" s="48"/>
      <c r="IK315" s="48"/>
      <c r="IL315" s="48"/>
      <c r="IM315" s="48"/>
      <c r="IN315" s="48"/>
      <c r="IO315" s="48"/>
      <c r="IP315" s="48"/>
      <c r="IQ315" s="48"/>
      <c r="IR315" s="48"/>
    </row>
    <row r="316" spans="1:252" s="24" customFormat="1" ht="20" customHeight="1">
      <c r="A316" s="29">
        <v>306</v>
      </c>
      <c r="B316" s="1">
        <v>0.5</v>
      </c>
      <c r="C316" s="15" t="s">
        <v>20</v>
      </c>
      <c r="D316" s="30" t="s">
        <v>21</v>
      </c>
      <c r="E316" s="16">
        <v>42339</v>
      </c>
      <c r="F316" s="21" t="s">
        <v>623</v>
      </c>
      <c r="G316" s="6" t="s">
        <v>67</v>
      </c>
      <c r="H316" s="9">
        <v>2200</v>
      </c>
      <c r="I316" s="22" t="s">
        <v>219</v>
      </c>
      <c r="J316" s="13">
        <f t="shared" si="44"/>
        <v>292879</v>
      </c>
      <c r="K316" s="9">
        <v>1241</v>
      </c>
      <c r="L316" s="14">
        <v>40529.160000000003</v>
      </c>
      <c r="M316" s="14">
        <f>L316</f>
        <v>40529.160000000003</v>
      </c>
      <c r="N316" s="14">
        <v>51574.39</v>
      </c>
      <c r="O316" s="14">
        <f>M316-N316</f>
        <v>-11045.229999999996</v>
      </c>
      <c r="P316" s="14">
        <v>50</v>
      </c>
      <c r="Q316" s="21">
        <v>-4433.3100000000004</v>
      </c>
      <c r="R316" s="6" t="s">
        <v>346</v>
      </c>
      <c r="S316" s="6" t="s">
        <v>26</v>
      </c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</row>
    <row r="317" spans="1:252" s="24" customFormat="1" ht="20" customHeight="1">
      <c r="A317" s="29">
        <v>307</v>
      </c>
      <c r="B317" s="1">
        <v>0.33</v>
      </c>
      <c r="C317" s="15" t="s">
        <v>513</v>
      </c>
      <c r="D317" s="30" t="s">
        <v>139</v>
      </c>
      <c r="E317" s="16">
        <v>42323</v>
      </c>
      <c r="F317" s="21" t="s">
        <v>652</v>
      </c>
      <c r="G317" s="6" t="s">
        <v>135</v>
      </c>
      <c r="H317" s="9">
        <v>550</v>
      </c>
      <c r="I317" s="22" t="s">
        <v>133</v>
      </c>
      <c r="J317" s="13">
        <f t="shared" si="44"/>
        <v>293429</v>
      </c>
      <c r="K317" s="29"/>
      <c r="L317" s="14"/>
      <c r="M317" s="14"/>
      <c r="N317" s="14"/>
      <c r="O317" s="14"/>
      <c r="P317" s="14"/>
      <c r="Q317" s="21"/>
      <c r="R317" s="6" t="s">
        <v>593</v>
      </c>
      <c r="S317" s="6" t="s">
        <v>574</v>
      </c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</row>
    <row r="318" spans="1:252" s="24" customFormat="1" ht="20" customHeight="1">
      <c r="A318" s="29">
        <v>308</v>
      </c>
      <c r="B318" s="1">
        <v>0.5</v>
      </c>
      <c r="C318" s="15" t="s">
        <v>31</v>
      </c>
      <c r="D318" s="30" t="s">
        <v>75</v>
      </c>
      <c r="E318" s="16">
        <v>42319</v>
      </c>
      <c r="F318" s="21" t="s">
        <v>607</v>
      </c>
      <c r="G318" s="6" t="s">
        <v>56</v>
      </c>
      <c r="H318" s="9">
        <v>300</v>
      </c>
      <c r="I318" s="22" t="s">
        <v>200</v>
      </c>
      <c r="J318" s="13">
        <f t="shared" si="44"/>
        <v>293729</v>
      </c>
      <c r="K318" s="9">
        <v>169</v>
      </c>
      <c r="L318" s="14">
        <v>2317.6799999999998</v>
      </c>
      <c r="M318" s="14">
        <v>2317.6799999999998</v>
      </c>
      <c r="N318" s="14">
        <v>3090.88</v>
      </c>
      <c r="O318" s="14">
        <f t="shared" ref="O318:O327" si="46">M318-N318</f>
        <v>-773.20000000000027</v>
      </c>
      <c r="P318" s="14">
        <v>50</v>
      </c>
      <c r="Q318" s="21">
        <f t="shared" ref="Q318:Q327" si="47">O318/2</f>
        <v>-386.60000000000014</v>
      </c>
      <c r="R318" s="6" t="s">
        <v>346</v>
      </c>
      <c r="S318" s="6" t="s">
        <v>574</v>
      </c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</row>
    <row r="319" spans="1:252" s="24" customFormat="1" ht="20" customHeight="1">
      <c r="A319" s="29">
        <v>309</v>
      </c>
      <c r="B319" s="1">
        <v>0.5</v>
      </c>
      <c r="C319" s="15" t="s">
        <v>31</v>
      </c>
      <c r="D319" s="30" t="s">
        <v>27</v>
      </c>
      <c r="E319" s="16">
        <v>42320</v>
      </c>
      <c r="F319" s="21" t="s">
        <v>627</v>
      </c>
      <c r="G319" s="6" t="s">
        <v>186</v>
      </c>
      <c r="H319" s="9">
        <v>500</v>
      </c>
      <c r="I319" s="22" t="s">
        <v>102</v>
      </c>
      <c r="J319" s="13">
        <f t="shared" si="44"/>
        <v>294229</v>
      </c>
      <c r="K319" s="9">
        <v>124</v>
      </c>
      <c r="L319" s="14">
        <v>2212.91</v>
      </c>
      <c r="M319" s="14">
        <v>2212.91</v>
      </c>
      <c r="N319" s="14">
        <v>4408.84</v>
      </c>
      <c r="O319" s="14">
        <f t="shared" si="46"/>
        <v>-2195.9300000000003</v>
      </c>
      <c r="P319" s="14">
        <v>50</v>
      </c>
      <c r="Q319" s="21">
        <f t="shared" si="47"/>
        <v>-1097.9650000000001</v>
      </c>
      <c r="R319" s="6" t="s">
        <v>216</v>
      </c>
      <c r="S319" s="6" t="s">
        <v>26</v>
      </c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</row>
    <row r="320" spans="1:252" s="24" customFormat="1" ht="20" customHeight="1">
      <c r="A320" s="29">
        <v>310</v>
      </c>
      <c r="B320" s="1">
        <v>0.5</v>
      </c>
      <c r="C320" s="15" t="s">
        <v>20</v>
      </c>
      <c r="D320" s="30" t="s">
        <v>139</v>
      </c>
      <c r="E320" s="16">
        <v>42337</v>
      </c>
      <c r="F320" s="21" t="s">
        <v>645</v>
      </c>
      <c r="G320" s="6" t="s">
        <v>29</v>
      </c>
      <c r="H320" s="9">
        <v>925</v>
      </c>
      <c r="I320" s="22" t="s">
        <v>133</v>
      </c>
      <c r="J320" s="13">
        <f t="shared" si="44"/>
        <v>295154</v>
      </c>
      <c r="K320" s="9">
        <v>273</v>
      </c>
      <c r="L320" s="14">
        <v>7316.26</v>
      </c>
      <c r="M320" s="14">
        <f>L320+327.25</f>
        <v>7643.51</v>
      </c>
      <c r="N320" s="14">
        <v>12372.66</v>
      </c>
      <c r="O320" s="14">
        <f t="shared" si="46"/>
        <v>-4729.1499999999996</v>
      </c>
      <c r="P320" s="14">
        <v>50</v>
      </c>
      <c r="Q320" s="21">
        <f t="shared" si="47"/>
        <v>-2364.5749999999998</v>
      </c>
      <c r="R320" s="6" t="s">
        <v>170</v>
      </c>
      <c r="S320" s="6" t="s">
        <v>26</v>
      </c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</row>
    <row r="321" spans="1:252" s="24" customFormat="1" ht="20" customHeight="1">
      <c r="A321" s="29">
        <v>311</v>
      </c>
      <c r="B321" s="1">
        <v>0.5</v>
      </c>
      <c r="C321" s="15" t="s">
        <v>20</v>
      </c>
      <c r="D321" s="30" t="s">
        <v>23</v>
      </c>
      <c r="E321" s="16">
        <v>42338</v>
      </c>
      <c r="F321" s="21" t="s">
        <v>646</v>
      </c>
      <c r="G321" s="6" t="s">
        <v>29</v>
      </c>
      <c r="H321" s="9">
        <v>925</v>
      </c>
      <c r="I321" s="22" t="s">
        <v>264</v>
      </c>
      <c r="J321" s="13">
        <f t="shared" si="44"/>
        <v>296079</v>
      </c>
      <c r="K321" s="9">
        <v>925</v>
      </c>
      <c r="L321" s="14">
        <v>16106.63</v>
      </c>
      <c r="M321" s="14">
        <f>L321+1280.06</f>
        <v>17386.689999999999</v>
      </c>
      <c r="N321" s="14">
        <v>13651.43</v>
      </c>
      <c r="O321" s="14">
        <f t="shared" si="46"/>
        <v>3735.2599999999984</v>
      </c>
      <c r="P321" s="14">
        <v>50</v>
      </c>
      <c r="Q321" s="21">
        <f t="shared" si="47"/>
        <v>1867.6299999999992</v>
      </c>
      <c r="R321" s="6" t="s">
        <v>58</v>
      </c>
      <c r="S321" s="6" t="s">
        <v>55</v>
      </c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</row>
    <row r="322" spans="1:252" s="24" customFormat="1" ht="20" customHeight="1">
      <c r="A322" s="29">
        <v>312</v>
      </c>
      <c r="B322" s="1">
        <v>0.5</v>
      </c>
      <c r="C322" s="15" t="s">
        <v>20</v>
      </c>
      <c r="D322" s="30" t="s">
        <v>22</v>
      </c>
      <c r="E322" s="16">
        <v>42335</v>
      </c>
      <c r="F322" s="21" t="s">
        <v>602</v>
      </c>
      <c r="G322" s="6" t="s">
        <v>29</v>
      </c>
      <c r="H322" s="9">
        <v>925</v>
      </c>
      <c r="I322" s="22" t="s">
        <v>81</v>
      </c>
      <c r="J322" s="13">
        <f t="shared" si="44"/>
        <v>297004</v>
      </c>
      <c r="K322" s="9">
        <v>192</v>
      </c>
      <c r="L322" s="14">
        <v>3820.37</v>
      </c>
      <c r="M322" s="14">
        <f>L322+258.75</f>
        <v>4079.12</v>
      </c>
      <c r="N322" s="14">
        <v>10269.61</v>
      </c>
      <c r="O322" s="14">
        <f t="shared" si="46"/>
        <v>-6190.4900000000007</v>
      </c>
      <c r="P322" s="14">
        <v>50</v>
      </c>
      <c r="Q322" s="21">
        <f t="shared" si="47"/>
        <v>-3095.2450000000003</v>
      </c>
      <c r="R322" s="6" t="s">
        <v>346</v>
      </c>
      <c r="S322" s="6" t="s">
        <v>26</v>
      </c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21"/>
      <c r="IM322" s="21"/>
      <c r="IN322" s="21"/>
      <c r="IO322" s="21"/>
      <c r="IP322" s="21"/>
      <c r="IQ322" s="21"/>
      <c r="IR322" s="21"/>
    </row>
    <row r="323" spans="1:252" s="24" customFormat="1" ht="20" customHeight="1">
      <c r="A323" s="29">
        <v>313</v>
      </c>
      <c r="B323" s="1">
        <v>0.5</v>
      </c>
      <c r="C323" s="15" t="s">
        <v>31</v>
      </c>
      <c r="D323" s="30" t="s">
        <v>21</v>
      </c>
      <c r="E323" s="16">
        <v>42353</v>
      </c>
      <c r="F323" s="21" t="s">
        <v>642</v>
      </c>
      <c r="G323" s="6" t="s">
        <v>85</v>
      </c>
      <c r="H323" s="9">
        <v>300</v>
      </c>
      <c r="I323" s="22">
        <v>20</v>
      </c>
      <c r="J323" s="13">
        <f t="shared" si="44"/>
        <v>297304</v>
      </c>
      <c r="K323" s="9">
        <v>105</v>
      </c>
      <c r="L323" s="14">
        <v>1825.95</v>
      </c>
      <c r="M323" s="14">
        <v>1825.95</v>
      </c>
      <c r="N323" s="14">
        <v>4481.6499999999996</v>
      </c>
      <c r="O323" s="14">
        <f t="shared" si="46"/>
        <v>-2655.7</v>
      </c>
      <c r="P323" s="14">
        <v>50</v>
      </c>
      <c r="Q323" s="21">
        <f t="shared" si="47"/>
        <v>-1327.85</v>
      </c>
      <c r="R323" s="6" t="s">
        <v>70</v>
      </c>
      <c r="S323" s="6" t="s">
        <v>26</v>
      </c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</row>
    <row r="324" spans="1:252" s="24" customFormat="1" ht="20" customHeight="1">
      <c r="A324" s="29">
        <v>314</v>
      </c>
      <c r="B324" s="1">
        <v>0.5</v>
      </c>
      <c r="C324" s="15" t="s">
        <v>31</v>
      </c>
      <c r="D324" s="30" t="s">
        <v>75</v>
      </c>
      <c r="E324" s="16">
        <v>42347</v>
      </c>
      <c r="F324" s="21" t="s">
        <v>629</v>
      </c>
      <c r="G324" s="6" t="s">
        <v>183</v>
      </c>
      <c r="H324" s="9">
        <v>400</v>
      </c>
      <c r="I324" s="22" t="s">
        <v>40</v>
      </c>
      <c r="J324" s="13">
        <f t="shared" si="44"/>
        <v>297704</v>
      </c>
      <c r="K324" s="9">
        <v>106</v>
      </c>
      <c r="L324" s="14">
        <v>2354.0300000000002</v>
      </c>
      <c r="M324" s="14">
        <v>2354.0300000000002</v>
      </c>
      <c r="N324" s="14">
        <v>4496.01</v>
      </c>
      <c r="O324" s="14">
        <f t="shared" si="46"/>
        <v>-2141.98</v>
      </c>
      <c r="P324" s="14">
        <v>50</v>
      </c>
      <c r="Q324" s="21">
        <f t="shared" si="47"/>
        <v>-1070.99</v>
      </c>
      <c r="R324" s="6" t="s">
        <v>371</v>
      </c>
      <c r="S324" s="6" t="s">
        <v>55</v>
      </c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</row>
    <row r="325" spans="1:252" s="24" customFormat="1" ht="20" customHeight="1">
      <c r="A325" s="29">
        <v>315</v>
      </c>
      <c r="B325" s="1">
        <v>0.5</v>
      </c>
      <c r="C325" s="15" t="s">
        <v>31</v>
      </c>
      <c r="D325" s="30" t="s">
        <v>27</v>
      </c>
      <c r="E325" s="16">
        <v>42327</v>
      </c>
      <c r="F325" s="21" t="s">
        <v>625</v>
      </c>
      <c r="G325" s="6" t="s">
        <v>56</v>
      </c>
      <c r="H325" s="9">
        <v>300</v>
      </c>
      <c r="I325" s="22" t="s">
        <v>200</v>
      </c>
      <c r="J325" s="13">
        <f t="shared" si="44"/>
        <v>298004</v>
      </c>
      <c r="K325" s="9">
        <v>43</v>
      </c>
      <c r="L325" s="14">
        <v>595.08000000000004</v>
      </c>
      <c r="M325" s="14">
        <v>595.08000000000004</v>
      </c>
      <c r="N325" s="14">
        <v>2851.03</v>
      </c>
      <c r="O325" s="14">
        <f t="shared" si="46"/>
        <v>-2255.9500000000003</v>
      </c>
      <c r="P325" s="14">
        <v>50</v>
      </c>
      <c r="Q325" s="21">
        <f t="shared" si="47"/>
        <v>-1127.9750000000001</v>
      </c>
      <c r="R325" s="6" t="s">
        <v>39</v>
      </c>
      <c r="S325" s="6" t="s">
        <v>55</v>
      </c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</row>
    <row r="326" spans="1:252" s="24" customFormat="1" ht="20" customHeight="1">
      <c r="A326" s="29">
        <v>316</v>
      </c>
      <c r="B326" s="1">
        <v>0.5</v>
      </c>
      <c r="C326" s="15" t="s">
        <v>31</v>
      </c>
      <c r="D326" s="30" t="s">
        <v>21</v>
      </c>
      <c r="E326" s="16">
        <v>42332</v>
      </c>
      <c r="F326" s="21" t="s">
        <v>630</v>
      </c>
      <c r="G326" s="6" t="s">
        <v>305</v>
      </c>
      <c r="H326" s="9">
        <v>110</v>
      </c>
      <c r="I326" s="22">
        <v>13</v>
      </c>
      <c r="J326" s="13">
        <f t="shared" si="44"/>
        <v>298114</v>
      </c>
      <c r="K326" s="9">
        <v>20</v>
      </c>
      <c r="L326" s="14">
        <v>226</v>
      </c>
      <c r="M326" s="14">
        <v>226</v>
      </c>
      <c r="N326" s="14">
        <v>1124.77</v>
      </c>
      <c r="O326" s="14">
        <f t="shared" si="46"/>
        <v>-898.77</v>
      </c>
      <c r="P326" s="14">
        <v>50</v>
      </c>
      <c r="Q326" s="21">
        <f t="shared" si="47"/>
        <v>-449.38499999999999</v>
      </c>
      <c r="R326" s="6" t="s">
        <v>144</v>
      </c>
      <c r="S326" s="6" t="s">
        <v>83</v>
      </c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</row>
    <row r="327" spans="1:252" s="24" customFormat="1" ht="20" customHeight="1">
      <c r="A327" s="29">
        <v>317</v>
      </c>
      <c r="B327" s="1">
        <v>0.5</v>
      </c>
      <c r="C327" s="15" t="s">
        <v>31</v>
      </c>
      <c r="D327" s="30" t="s">
        <v>139</v>
      </c>
      <c r="E327" s="16">
        <v>42344</v>
      </c>
      <c r="F327" s="21" t="s">
        <v>637</v>
      </c>
      <c r="G327" s="6" t="s">
        <v>110</v>
      </c>
      <c r="H327" s="9">
        <v>250</v>
      </c>
      <c r="I327" s="22" t="s">
        <v>609</v>
      </c>
      <c r="J327" s="13">
        <f t="shared" si="44"/>
        <v>298364</v>
      </c>
      <c r="K327" s="9">
        <v>83</v>
      </c>
      <c r="L327" s="14">
        <v>891.46</v>
      </c>
      <c r="M327" s="14">
        <v>891.46</v>
      </c>
      <c r="N327" s="14">
        <v>1801.34</v>
      </c>
      <c r="O327" s="14">
        <f t="shared" si="46"/>
        <v>-909.87999999999988</v>
      </c>
      <c r="P327" s="14">
        <v>50</v>
      </c>
      <c r="Q327" s="21">
        <f t="shared" si="47"/>
        <v>-454.93999999999994</v>
      </c>
      <c r="R327" s="6" t="s">
        <v>347</v>
      </c>
      <c r="S327" s="6" t="s">
        <v>80</v>
      </c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</row>
    <row r="328" spans="1:252" s="52" customFormat="1" ht="20" customHeight="1">
      <c r="A328" s="43">
        <v>318</v>
      </c>
      <c r="B328" s="44">
        <v>0.33</v>
      </c>
      <c r="C328" s="45" t="s">
        <v>628</v>
      </c>
      <c r="D328" s="56" t="s">
        <v>22</v>
      </c>
      <c r="E328" s="47">
        <v>42349</v>
      </c>
      <c r="F328" s="48" t="s">
        <v>626</v>
      </c>
      <c r="G328" s="46" t="s">
        <v>330</v>
      </c>
      <c r="H328" s="43">
        <v>250</v>
      </c>
      <c r="I328" s="49">
        <v>15</v>
      </c>
      <c r="J328" s="50">
        <f t="shared" si="44"/>
        <v>298614</v>
      </c>
      <c r="K328" s="43"/>
      <c r="L328" s="51"/>
      <c r="M328" s="51"/>
      <c r="N328" s="51"/>
      <c r="O328" s="51">
        <v>-215</v>
      </c>
      <c r="P328" s="60">
        <v>0.33333000000000002</v>
      </c>
      <c r="Q328" s="48">
        <f>P328*O328</f>
        <v>-71.665950000000009</v>
      </c>
      <c r="R328" s="46" t="s">
        <v>64</v>
      </c>
      <c r="S328" s="46" t="s">
        <v>26</v>
      </c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  <c r="DL328" s="48"/>
      <c r="DM328" s="48"/>
      <c r="DN328" s="48"/>
      <c r="DO328" s="48"/>
      <c r="DP328" s="48"/>
      <c r="DQ328" s="48"/>
      <c r="DR328" s="48"/>
      <c r="DS328" s="48"/>
      <c r="DT328" s="48"/>
      <c r="DU328" s="48"/>
      <c r="DV328" s="48"/>
      <c r="DW328" s="48"/>
      <c r="DX328" s="48"/>
      <c r="DY328" s="48"/>
      <c r="DZ328" s="48"/>
      <c r="EA328" s="48"/>
      <c r="EB328" s="48"/>
      <c r="EC328" s="48"/>
      <c r="ED328" s="48"/>
      <c r="EE328" s="48"/>
      <c r="EF328" s="48"/>
      <c r="EG328" s="48"/>
      <c r="EH328" s="48"/>
      <c r="EI328" s="48"/>
      <c r="EJ328" s="48"/>
      <c r="EK328" s="48"/>
      <c r="EL328" s="48"/>
      <c r="EM328" s="48"/>
      <c r="EN328" s="48"/>
      <c r="EO328" s="48"/>
      <c r="EP328" s="48"/>
      <c r="EQ328" s="48"/>
      <c r="ER328" s="48"/>
      <c r="ES328" s="48"/>
      <c r="ET328" s="48"/>
      <c r="EU328" s="48"/>
      <c r="EV328" s="48"/>
      <c r="EW328" s="48"/>
      <c r="EX328" s="48"/>
      <c r="EY328" s="48"/>
      <c r="EZ328" s="48"/>
      <c r="FA328" s="48"/>
      <c r="FB328" s="48"/>
      <c r="FC328" s="48"/>
      <c r="FD328" s="48"/>
      <c r="FE328" s="48"/>
      <c r="FF328" s="48"/>
      <c r="FG328" s="48"/>
      <c r="FH328" s="48"/>
      <c r="FI328" s="48"/>
      <c r="FJ328" s="48"/>
      <c r="FK328" s="48"/>
      <c r="FL328" s="48"/>
      <c r="FM328" s="48"/>
      <c r="FN328" s="48"/>
      <c r="FO328" s="48"/>
      <c r="FP328" s="48"/>
      <c r="FQ328" s="48"/>
      <c r="FR328" s="48"/>
      <c r="FS328" s="48"/>
      <c r="FT328" s="48"/>
      <c r="FU328" s="48"/>
      <c r="FV328" s="48"/>
      <c r="FW328" s="48"/>
      <c r="FX328" s="48"/>
      <c r="FY328" s="48"/>
      <c r="FZ328" s="48"/>
      <c r="GA328" s="48"/>
      <c r="GB328" s="48"/>
      <c r="GC328" s="48"/>
      <c r="GD328" s="48"/>
      <c r="GE328" s="48"/>
      <c r="GF328" s="48"/>
      <c r="GG328" s="48"/>
      <c r="GH328" s="48"/>
      <c r="GI328" s="48"/>
      <c r="GJ328" s="48"/>
      <c r="GK328" s="48"/>
      <c r="GL328" s="48"/>
      <c r="GM328" s="48"/>
      <c r="GN328" s="48"/>
      <c r="GO328" s="48"/>
      <c r="GP328" s="48"/>
      <c r="GQ328" s="48"/>
      <c r="GR328" s="48"/>
      <c r="GS328" s="48"/>
      <c r="GT328" s="48"/>
      <c r="GU328" s="48"/>
      <c r="GV328" s="48"/>
      <c r="GW328" s="48"/>
      <c r="GX328" s="48"/>
      <c r="GY328" s="48"/>
      <c r="GZ328" s="48"/>
      <c r="HA328" s="48"/>
      <c r="HB328" s="48"/>
      <c r="HC328" s="48"/>
      <c r="HD328" s="48"/>
      <c r="HE328" s="48"/>
      <c r="HF328" s="48"/>
      <c r="HG328" s="48"/>
      <c r="HH328" s="48"/>
      <c r="HI328" s="48"/>
      <c r="HJ328" s="48"/>
      <c r="HK328" s="48"/>
      <c r="HL328" s="48"/>
      <c r="HM328" s="48"/>
      <c r="HN328" s="48"/>
      <c r="HO328" s="48"/>
      <c r="HP328" s="48"/>
      <c r="HQ328" s="48"/>
      <c r="HR328" s="48"/>
      <c r="HS328" s="48"/>
      <c r="HT328" s="48"/>
      <c r="HU328" s="48"/>
      <c r="HV328" s="48"/>
      <c r="HW328" s="48"/>
      <c r="HX328" s="48"/>
      <c r="HY328" s="48"/>
      <c r="HZ328" s="48"/>
      <c r="IA328" s="48"/>
      <c r="IB328" s="48"/>
      <c r="IC328" s="48"/>
      <c r="ID328" s="48"/>
      <c r="IE328" s="48"/>
      <c r="IF328" s="48"/>
      <c r="IG328" s="48"/>
      <c r="IH328" s="48"/>
      <c r="II328" s="48"/>
      <c r="IJ328" s="48"/>
      <c r="IK328" s="48"/>
      <c r="IL328" s="48"/>
      <c r="IM328" s="48"/>
      <c r="IN328" s="48"/>
      <c r="IO328" s="48"/>
      <c r="IP328" s="48"/>
      <c r="IQ328" s="48"/>
      <c r="IR328" s="48"/>
    </row>
    <row r="329" spans="1:252" s="24" customFormat="1" ht="20" customHeight="1">
      <c r="A329" s="29"/>
      <c r="B329" s="1"/>
      <c r="C329" s="15"/>
      <c r="D329" s="30"/>
      <c r="E329" s="16"/>
      <c r="F329" s="21"/>
      <c r="G329" s="6"/>
      <c r="H329" s="9"/>
      <c r="I329" s="22"/>
      <c r="J329" s="13"/>
      <c r="K329" s="9"/>
      <c r="L329" s="14"/>
      <c r="M329" s="14"/>
      <c r="N329" s="57" t="s">
        <v>650</v>
      </c>
      <c r="O329" s="14">
        <f>SUM(O4:O327)</f>
        <v>325255.49000000017</v>
      </c>
      <c r="P329" s="14"/>
      <c r="Q329" s="14">
        <f>SUM(Q4:Q328)</f>
        <v>42886.377631827352</v>
      </c>
      <c r="R329" s="6"/>
      <c r="S329" s="6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21"/>
      <c r="IM329" s="21"/>
      <c r="IN329" s="21"/>
      <c r="IO329" s="21"/>
      <c r="IP329" s="21"/>
      <c r="IQ329" s="21"/>
      <c r="IR329" s="21"/>
    </row>
    <row r="330" spans="1:252" s="24" customFormat="1" ht="20" customHeight="1">
      <c r="A330" s="29"/>
      <c r="B330" s="1"/>
      <c r="C330" s="15"/>
      <c r="D330" s="30"/>
      <c r="E330" s="16"/>
      <c r="F330" s="21"/>
      <c r="G330" s="6"/>
      <c r="H330" s="9"/>
      <c r="I330" s="22"/>
      <c r="J330" s="13"/>
      <c r="K330" s="9"/>
      <c r="L330" s="14"/>
      <c r="M330" s="14"/>
      <c r="N330" s="14"/>
      <c r="O330" s="14"/>
      <c r="P330" s="14"/>
      <c r="Q330" s="21"/>
      <c r="R330" s="6"/>
      <c r="S330" s="6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</row>
    <row r="331" spans="1:252" s="24" customFormat="1" ht="20" customHeight="1">
      <c r="A331" s="29"/>
      <c r="B331" s="1"/>
      <c r="C331" s="15"/>
      <c r="D331" s="30"/>
      <c r="E331" s="16"/>
      <c r="F331" s="21"/>
      <c r="G331" s="6"/>
      <c r="H331" s="9"/>
      <c r="I331" s="22"/>
      <c r="J331" s="13"/>
      <c r="K331" s="9"/>
      <c r="L331" s="14"/>
      <c r="M331" s="14"/>
      <c r="N331" s="14"/>
      <c r="O331" s="14"/>
      <c r="P331" s="14"/>
      <c r="Q331" s="21"/>
      <c r="R331" s="6"/>
      <c r="S331" s="6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</row>
    <row r="332" spans="1:252" s="24" customFormat="1" ht="20" customHeight="1">
      <c r="A332" s="29"/>
      <c r="B332" s="1"/>
      <c r="C332" s="15"/>
      <c r="D332" s="30"/>
      <c r="E332" s="16"/>
      <c r="F332" s="21"/>
      <c r="G332" s="6"/>
      <c r="H332" s="9"/>
      <c r="I332" s="22"/>
      <c r="J332" s="13"/>
      <c r="K332" s="9"/>
      <c r="L332" s="14"/>
      <c r="M332" s="14"/>
      <c r="N332" s="14"/>
      <c r="O332" s="14"/>
      <c r="P332" s="14"/>
      <c r="Q332" s="21"/>
      <c r="R332" s="6"/>
      <c r="S332" s="6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21"/>
      <c r="IM332" s="21"/>
      <c r="IN332" s="21"/>
      <c r="IO332" s="21"/>
      <c r="IP332" s="21"/>
      <c r="IQ332" s="21"/>
      <c r="IR332" s="21"/>
    </row>
    <row r="333" spans="1:252" s="24" customFormat="1" ht="20" customHeight="1">
      <c r="A333" s="29"/>
      <c r="B333" s="1"/>
      <c r="C333" s="15"/>
      <c r="D333" s="30"/>
      <c r="E333" s="16"/>
      <c r="F333" s="21"/>
      <c r="G333" s="6"/>
      <c r="H333" s="9"/>
      <c r="I333" s="22"/>
      <c r="J333" s="13"/>
      <c r="K333" s="9"/>
      <c r="L333" s="14"/>
      <c r="M333" s="14"/>
      <c r="N333" s="14"/>
      <c r="O333" s="14"/>
      <c r="P333" s="14"/>
      <c r="Q333" s="21"/>
      <c r="R333" s="6"/>
      <c r="S333" s="6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  <c r="IL333" s="21"/>
      <c r="IM333" s="21"/>
      <c r="IN333" s="21"/>
      <c r="IO333" s="21"/>
      <c r="IP333" s="21"/>
      <c r="IQ333" s="21"/>
      <c r="IR333" s="21"/>
    </row>
    <row r="1048246" spans="1:252" s="24" customFormat="1" ht="20" customHeight="1">
      <c r="A1048246" s="29"/>
      <c r="B1048246" s="1"/>
      <c r="C1048246" s="15"/>
      <c r="D1048246" s="6"/>
      <c r="E1048246" s="16"/>
      <c r="F1048246" s="21"/>
      <c r="G1048246" s="6"/>
      <c r="H1048246" s="9"/>
      <c r="I1048246" s="22"/>
      <c r="J1048246" s="13"/>
      <c r="K1048246" s="9"/>
      <c r="L1048246" s="14"/>
      <c r="M1048246" s="14"/>
      <c r="N1048246" s="14"/>
      <c r="O1048246" s="14"/>
      <c r="P1048246" s="14"/>
      <c r="Q1048246" s="21"/>
      <c r="R1048246" s="6"/>
      <c r="S1048246" s="6"/>
      <c r="T1048246" s="21"/>
      <c r="U1048246" s="21"/>
      <c r="V1048246" s="21"/>
      <c r="W1048246" s="21"/>
      <c r="X1048246" s="21"/>
      <c r="Y1048246" s="21"/>
      <c r="Z1048246" s="21"/>
      <c r="AA1048246" s="21"/>
      <c r="AB1048246" s="21"/>
      <c r="AC1048246" s="21"/>
      <c r="AD1048246" s="21"/>
      <c r="AE1048246" s="21"/>
      <c r="AF1048246" s="21"/>
      <c r="AG1048246" s="21"/>
      <c r="AH1048246" s="21"/>
      <c r="AI1048246" s="21"/>
      <c r="AJ1048246" s="21"/>
      <c r="AK1048246" s="21"/>
      <c r="AL1048246" s="21"/>
      <c r="AM1048246" s="21"/>
      <c r="AN1048246" s="21"/>
      <c r="AO1048246" s="21"/>
      <c r="AP1048246" s="21"/>
      <c r="AQ1048246" s="21"/>
      <c r="AR1048246" s="21"/>
      <c r="AS1048246" s="21"/>
      <c r="AT1048246" s="21"/>
      <c r="AU1048246" s="21"/>
      <c r="AV1048246" s="21"/>
      <c r="AW1048246" s="21"/>
      <c r="AX1048246" s="21"/>
      <c r="AY1048246" s="21"/>
      <c r="AZ1048246" s="21"/>
      <c r="BA1048246" s="21"/>
      <c r="BB1048246" s="21"/>
      <c r="BC1048246" s="21"/>
      <c r="BD1048246" s="21"/>
      <c r="BE1048246" s="21"/>
      <c r="BF1048246" s="21"/>
      <c r="BG1048246" s="21"/>
      <c r="BH1048246" s="21"/>
      <c r="BI1048246" s="21"/>
      <c r="BJ1048246" s="21"/>
      <c r="BK1048246" s="21"/>
      <c r="BL1048246" s="21"/>
      <c r="BM1048246" s="21"/>
      <c r="BN1048246" s="21"/>
      <c r="BO1048246" s="21"/>
      <c r="BP1048246" s="21"/>
      <c r="BQ1048246" s="21"/>
      <c r="BR1048246" s="21"/>
      <c r="BS1048246" s="21"/>
      <c r="BT1048246" s="21"/>
      <c r="BU1048246" s="21"/>
      <c r="BV1048246" s="21"/>
      <c r="BW1048246" s="21"/>
      <c r="BX1048246" s="21"/>
      <c r="BY1048246" s="21"/>
      <c r="BZ1048246" s="21"/>
      <c r="CA1048246" s="21"/>
      <c r="CB1048246" s="21"/>
      <c r="CC1048246" s="21"/>
      <c r="CD1048246" s="21"/>
      <c r="CE1048246" s="21"/>
      <c r="CF1048246" s="21"/>
      <c r="CG1048246" s="21"/>
      <c r="CH1048246" s="21"/>
      <c r="CI1048246" s="21"/>
      <c r="CJ1048246" s="21"/>
      <c r="CK1048246" s="21"/>
      <c r="CL1048246" s="21"/>
      <c r="CM1048246" s="21"/>
      <c r="CN1048246" s="21"/>
      <c r="CO1048246" s="21"/>
      <c r="CP1048246" s="21"/>
      <c r="CQ1048246" s="21"/>
      <c r="CR1048246" s="21"/>
      <c r="CS1048246" s="21"/>
      <c r="CT1048246" s="21"/>
      <c r="CU1048246" s="21"/>
      <c r="CV1048246" s="21"/>
      <c r="CW1048246" s="21"/>
      <c r="CX1048246" s="21"/>
      <c r="CY1048246" s="21"/>
      <c r="CZ1048246" s="21"/>
      <c r="DA1048246" s="21"/>
      <c r="DB1048246" s="21"/>
      <c r="DC1048246" s="21"/>
      <c r="DD1048246" s="21"/>
      <c r="DE1048246" s="21"/>
      <c r="DF1048246" s="21"/>
      <c r="DG1048246" s="21"/>
      <c r="DH1048246" s="21"/>
      <c r="DI1048246" s="21"/>
      <c r="DJ1048246" s="21"/>
      <c r="DK1048246" s="21"/>
      <c r="DL1048246" s="21"/>
      <c r="DM1048246" s="21"/>
      <c r="DN1048246" s="21"/>
      <c r="DO1048246" s="21"/>
      <c r="DP1048246" s="21"/>
      <c r="DQ1048246" s="21"/>
      <c r="DR1048246" s="21"/>
      <c r="DS1048246" s="21"/>
      <c r="DT1048246" s="21"/>
      <c r="DU1048246" s="21"/>
      <c r="DV1048246" s="21"/>
      <c r="DW1048246" s="21"/>
      <c r="DX1048246" s="21"/>
      <c r="DY1048246" s="21"/>
      <c r="DZ1048246" s="21"/>
      <c r="EA1048246" s="21"/>
      <c r="EB1048246" s="21"/>
      <c r="EC1048246" s="21"/>
      <c r="ED1048246" s="21"/>
      <c r="EE1048246" s="21"/>
      <c r="EF1048246" s="21"/>
      <c r="EG1048246" s="21"/>
      <c r="EH1048246" s="21"/>
      <c r="EI1048246" s="21"/>
      <c r="EJ1048246" s="21"/>
      <c r="EK1048246" s="21"/>
      <c r="EL1048246" s="21"/>
      <c r="EM1048246" s="21"/>
      <c r="EN1048246" s="21"/>
      <c r="EO1048246" s="21"/>
      <c r="EP1048246" s="21"/>
      <c r="EQ1048246" s="21"/>
      <c r="ER1048246" s="21"/>
      <c r="ES1048246" s="21"/>
      <c r="ET1048246" s="21"/>
      <c r="EU1048246" s="21"/>
      <c r="EV1048246" s="21"/>
      <c r="EW1048246" s="21"/>
      <c r="EX1048246" s="21"/>
      <c r="EY1048246" s="21"/>
      <c r="EZ1048246" s="21"/>
      <c r="FA1048246" s="21"/>
      <c r="FB1048246" s="21"/>
      <c r="FC1048246" s="21"/>
      <c r="FD1048246" s="21"/>
      <c r="FE1048246" s="21"/>
      <c r="FF1048246" s="21"/>
      <c r="FG1048246" s="21"/>
      <c r="FH1048246" s="21"/>
      <c r="FI1048246" s="21"/>
      <c r="FJ1048246" s="21"/>
      <c r="FK1048246" s="21"/>
      <c r="FL1048246" s="21"/>
      <c r="FM1048246" s="21"/>
      <c r="FN1048246" s="21"/>
      <c r="FO1048246" s="21"/>
      <c r="FP1048246" s="21"/>
      <c r="FQ1048246" s="21"/>
      <c r="FR1048246" s="21"/>
      <c r="FS1048246" s="21"/>
      <c r="FT1048246" s="21"/>
      <c r="FU1048246" s="21"/>
      <c r="FV1048246" s="21"/>
      <c r="FW1048246" s="21"/>
      <c r="FX1048246" s="21"/>
      <c r="FY1048246" s="21"/>
      <c r="FZ1048246" s="21"/>
      <c r="GA1048246" s="21"/>
      <c r="GB1048246" s="21"/>
      <c r="GC1048246" s="21"/>
      <c r="GD1048246" s="21"/>
      <c r="GE1048246" s="21"/>
      <c r="GF1048246" s="21"/>
      <c r="GG1048246" s="21"/>
      <c r="GH1048246" s="21"/>
      <c r="GI1048246" s="21"/>
      <c r="GJ1048246" s="21"/>
      <c r="GK1048246" s="21"/>
      <c r="GL1048246" s="21"/>
      <c r="GM1048246" s="21"/>
      <c r="GN1048246" s="21"/>
      <c r="GO1048246" s="21"/>
      <c r="GP1048246" s="21"/>
      <c r="GQ1048246" s="21"/>
      <c r="GR1048246" s="21"/>
      <c r="GS1048246" s="21"/>
      <c r="GT1048246" s="21"/>
      <c r="GU1048246" s="21"/>
      <c r="GV1048246" s="21"/>
      <c r="GW1048246" s="21"/>
      <c r="GX1048246" s="21"/>
      <c r="GY1048246" s="21"/>
      <c r="GZ1048246" s="21"/>
      <c r="HA1048246" s="21"/>
      <c r="HB1048246" s="21"/>
      <c r="HC1048246" s="21"/>
      <c r="HD1048246" s="21"/>
      <c r="HE1048246" s="21"/>
      <c r="HF1048246" s="21"/>
      <c r="HG1048246" s="21"/>
      <c r="HH1048246" s="21"/>
      <c r="HI1048246" s="21"/>
      <c r="HJ1048246" s="21"/>
      <c r="HK1048246" s="21"/>
      <c r="HL1048246" s="21"/>
      <c r="HM1048246" s="21"/>
      <c r="HN1048246" s="21"/>
      <c r="HO1048246" s="21"/>
      <c r="HP1048246" s="21"/>
      <c r="HQ1048246" s="21"/>
      <c r="HR1048246" s="21"/>
      <c r="HS1048246" s="21"/>
      <c r="HT1048246" s="21"/>
      <c r="HU1048246" s="21"/>
      <c r="HV1048246" s="21"/>
      <c r="HW1048246" s="21"/>
      <c r="HX1048246" s="21"/>
      <c r="HY1048246" s="21"/>
      <c r="HZ1048246" s="21"/>
      <c r="IA1048246" s="21"/>
      <c r="IB1048246" s="21"/>
      <c r="IC1048246" s="21"/>
      <c r="ID1048246" s="21"/>
      <c r="IE1048246" s="21"/>
      <c r="IF1048246" s="21"/>
      <c r="IG1048246" s="21"/>
      <c r="IH1048246" s="21"/>
      <c r="II1048246" s="21"/>
      <c r="IJ1048246" s="21"/>
      <c r="IK1048246" s="21"/>
      <c r="IL1048246" s="21"/>
      <c r="IM1048246" s="21"/>
      <c r="IN1048246" s="21"/>
      <c r="IO1048246" s="21"/>
      <c r="IP1048246" s="21"/>
      <c r="IQ1048246" s="21"/>
      <c r="IR1048246" s="21"/>
    </row>
  </sheetData>
  <pageMargins left="0.78749999999999998" right="0.78749999999999998" top="0.78749999999999998" bottom="0.78749999999999998" header="9.8611111111111122E-2" footer="9.8611111111111122E-2"/>
  <pageSetup fitToHeight="0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concert registry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</dc:creator>
  <cp:lastModifiedBy>Nancy Ross</cp:lastModifiedBy>
  <dcterms:created xsi:type="dcterms:W3CDTF">2014-10-02T20:08:41Z</dcterms:created>
  <dcterms:modified xsi:type="dcterms:W3CDTF">2016-02-17T21:43:14Z</dcterms:modified>
</cp:coreProperties>
</file>